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8550" firstSheet="20" activeTab="25"/>
  </bookViews>
  <sheets>
    <sheet name="日付時刻関数Index" sheetId="1" r:id="rId1"/>
    <sheet name="時間の計算" sheetId="2" r:id="rId2"/>
    <sheet name="日付の計算" sheetId="3" r:id="rId3"/>
    <sheet name="シリアル値" sheetId="4" r:id="rId4"/>
    <sheet name="ユリウス日とユリウス暦" sheetId="5" r:id="rId5"/>
    <sheet name="YEAR関数" sheetId="6" r:id="rId6"/>
    <sheet name="MONTH関数" sheetId="7" r:id="rId7"/>
    <sheet name="DAY関数" sheetId="8" r:id="rId8"/>
    <sheet name="HOUR関数" sheetId="9" r:id="rId9"/>
    <sheet name="MINUTE関数" sheetId="10" r:id="rId10"/>
    <sheet name="SECOND関数" sheetId="11" r:id="rId11"/>
    <sheet name="WEEKDAY関数" sheetId="12" r:id="rId12"/>
    <sheet name="WEEKNUM関数" sheetId="13" r:id="rId13"/>
    <sheet name="TODAY関数" sheetId="14" r:id="rId14"/>
    <sheet name="NOW関数" sheetId="15" r:id="rId15"/>
    <sheet name="DATE関数" sheetId="16" r:id="rId16"/>
    <sheet name="TIME関数" sheetId="17" r:id="rId17"/>
    <sheet name="DATEVALUE関数" sheetId="18" r:id="rId18"/>
    <sheet name="TIMEVALUE関数" sheetId="19" r:id="rId19"/>
    <sheet name="EDATE関数" sheetId="20" r:id="rId20"/>
    <sheet name="EOMONTH関数" sheetId="21" r:id="rId21"/>
    <sheet name="WORKDAY関数" sheetId="22" r:id="rId22"/>
    <sheet name="NETWORKDAYS関数" sheetId="23" r:id="rId23"/>
    <sheet name="DAYS360関数" sheetId="24" r:id="rId24"/>
    <sheet name="YEARFRAC関数" sheetId="25" r:id="rId25"/>
    <sheet name="DATEDIF関数" sheetId="26" r:id="rId26"/>
    <sheet name="DATESTRING関数" sheetId="27" r:id="rId27"/>
  </sheets>
  <definedNames>
    <definedName name="DATEDIF関数">'DATEDIF関数'!$B$1</definedName>
    <definedName name="DATESTRING関数">'DATESTRING関数'!$B$1</definedName>
    <definedName name="DATEVALUE関数">'DATEVALUE関数'!$B$1</definedName>
    <definedName name="DATE関数">'DATE関数'!$B$1</definedName>
    <definedName name="DAYS360関数">'DAYS360関数'!$B$1</definedName>
    <definedName name="DAY関数">'DAY関数'!$B$1</definedName>
    <definedName name="EDATE関数">'EDATE関数'!$B$1</definedName>
    <definedName name="EOMONTH関数">'EOMONTH関数'!$B$1</definedName>
    <definedName name="Excelでの2桁年の解釈">'DATE関数'!$B$54</definedName>
    <definedName name="HOUR関数">'HOUR関数'!$B$1</definedName>
    <definedName name="INDEX">'日付時刻関数Index'!$A$1</definedName>
    <definedName name="kb1" localSheetId="26">'DATESTRING関数'!$A$31</definedName>
    <definedName name="kb2" localSheetId="26">'DATESTRING関数'!$A$34</definedName>
    <definedName name="kb3" localSheetId="26">'DATESTRING関数'!$A$41</definedName>
    <definedName name="kb4" localSheetId="26">'DATESTRING関数'!$A$46</definedName>
    <definedName name="MINUTE関数">'MINUTE関数'!$B$1</definedName>
    <definedName name="MONTH関数">'MONTH関数'!$B$1</definedName>
    <definedName name="NETWORKDAYS関数">'NETWORKDAYS関数'!$B$1</definedName>
    <definedName name="NOW関数">'NOW関数'!$B$1</definedName>
    <definedName name="_xlnm.Print_Area" localSheetId="22">'NETWORKDAYS関数'!$A$1:$E$79</definedName>
    <definedName name="_xlnm.Print_Area" localSheetId="1">'時間の計算'!$A$1:$E$153</definedName>
    <definedName name="_xlnm.Print_Area" localSheetId="2">'日付の計算'!$A$1:$E$164</definedName>
    <definedName name="SECOND関数">'SECOND関数'!$B$1</definedName>
    <definedName name="TIMEVALUE関数">'TIMEVALUE関数'!$B$1</definedName>
    <definedName name="TIME関数">'TIME関数'!$B$1</definedName>
    <definedName name="TODAY関数">'TODAY関数'!$B$1</definedName>
    <definedName name="WEEKDAY関数">'WEEKDAY関数'!$B$1</definedName>
    <definedName name="WEEKNUM関数">'WEEKNUM関数'!$B$1</definedName>
    <definedName name="WORKDAY関数">'WORKDAY関数'!$B$1</definedName>
    <definedName name="YEARFRAC関数">'YEARFRAC関数'!$B$1</definedName>
    <definedName name="YEAR関数">'YEAR関数'!$B$1</definedName>
    <definedName name="セルの書式設定には注意が必要">'DAY関数'!$B$43</definedName>
    <definedName name="配列定数とは">'NETWORKDAYS関数'!$B$73</definedName>
  </definedNames>
  <calcPr fullCalcOnLoad="1"/>
</workbook>
</file>

<file path=xl/comments14.xml><?xml version="1.0" encoding="utf-8"?>
<comments xmlns="http://schemas.openxmlformats.org/spreadsheetml/2006/main">
  <authors>
    <author>SystemKOMACO</author>
  </authors>
  <commentList>
    <comment ref="C33" authorId="0">
      <text>
        <r>
          <rPr>
            <b/>
            <sz val="9"/>
            <rFont val="ＭＳ Ｐゴシック"/>
            <family val="3"/>
          </rPr>
          <t>=TODAY()</t>
        </r>
      </text>
    </comment>
  </commentList>
</comments>
</file>

<file path=xl/comments15.xml><?xml version="1.0" encoding="utf-8"?>
<comments xmlns="http://schemas.openxmlformats.org/spreadsheetml/2006/main">
  <authors>
    <author>SystemKOMACO</author>
  </authors>
  <commentList>
    <comment ref="C34" authorId="0">
      <text>
        <r>
          <rPr>
            <b/>
            <sz val="9"/>
            <rFont val="ＭＳ Ｐゴシック"/>
            <family val="3"/>
          </rPr>
          <t>=NOW()</t>
        </r>
      </text>
    </comment>
  </commentList>
</comments>
</file>

<file path=xl/comments3.xml><?xml version="1.0" encoding="utf-8"?>
<comments xmlns="http://schemas.openxmlformats.org/spreadsheetml/2006/main">
  <authors>
    <author>SystemKOMACO</author>
  </authors>
  <commentList>
    <comment ref="C65" authorId="0">
      <text>
        <r>
          <rPr>
            <sz val="10"/>
            <rFont val="ＭＳ Ｐゴシック"/>
            <family val="3"/>
          </rPr>
          <t>=TODAY()</t>
        </r>
      </text>
    </comment>
    <comment ref="C60" authorId="0">
      <text>
        <r>
          <rPr>
            <sz val="9"/>
            <rFont val="ＭＳ Ｐゴシック"/>
            <family val="3"/>
          </rPr>
          <t>=TODAY()</t>
        </r>
      </text>
    </comment>
  </commentList>
</comments>
</file>

<file path=xl/sharedStrings.xml><?xml version="1.0" encoding="utf-8"?>
<sst xmlns="http://schemas.openxmlformats.org/spreadsheetml/2006/main" count="1590" uniqueCount="1057">
  <si>
    <t>Excelでは2桁年の解釈を次のように行います。</t>
  </si>
  <si>
    <t>00 ～ 29年</t>
  </si>
  <si>
    <t>30 ～ 99年</t>
  </si>
  <si>
    <t>2000 ～ 2029年</t>
  </si>
  <si>
    <t>1930 ～ 1999年</t>
  </si>
  <si>
    <t>入力</t>
  </si>
  <si>
    <t>実際の表示</t>
  </si>
  <si>
    <t>00/01/01</t>
  </si>
  <si>
    <t>29/12/31</t>
  </si>
  <si>
    <t>30/01/01</t>
  </si>
  <si>
    <t>99/12/31</t>
  </si>
  <si>
    <t>●Excelでの2桁年の解釈</t>
  </si>
  <si>
    <t>→</t>
  </si>
  <si>
    <t>しかし、DATE関数では2桁年を次のように解釈します。</t>
  </si>
  <si>
    <t>=DATE(0,1,1)</t>
  </si>
  <si>
    <t>=DATE(00,01,01)</t>
  </si>
  <si>
    <t>実際の数式</t>
  </si>
  <si>
    <t>=DATE(29,12,31)</t>
  </si>
  <si>
    <t>=DATE(30,01,01)</t>
  </si>
  <si>
    <t>=DATE(99,12,31)</t>
  </si>
  <si>
    <t>=DATE(30,1,1)</t>
  </si>
  <si>
    <t>各桁の「00」、「01」等は、数値と認識されるために各桁の「0」は取り除かれます。</t>
  </si>
  <si>
    <t>○年の値が 0 ～ 1899 の範囲の場合、1900 を加えた値が実際の年になります。たとえば、数式 DATE(108,1,2) は、2008 年 1 月 2 日に対応するシリアル値を返します (1900+108)。</t>
  </si>
  <si>
    <r>
      <t>上記「引数」の説明にもあるように、</t>
    </r>
    <r>
      <rPr>
        <sz val="11"/>
        <color indexed="10"/>
        <rFont val="ＭＳ Ｐゴシック"/>
        <family val="3"/>
      </rPr>
      <t>年の値が 0 ～ 1899 の範囲の場合、1900 を加えた値が実際の年</t>
    </r>
    <r>
      <rPr>
        <sz val="11"/>
        <rFont val="ＭＳ Ｐゴシック"/>
        <family val="3"/>
      </rPr>
      <t>になります。</t>
    </r>
  </si>
  <si>
    <t>Excelでの2桁年の解釈</t>
  </si>
  <si>
    <t>DATE関数で年を指定する場合には、4桁でしてするようにすれば間違いは無くなります。</t>
  </si>
  <si>
    <t>これは、DATE関数の機能です。</t>
  </si>
  <si>
    <t>→Excelでの2桁年の解釈</t>
  </si>
  <si>
    <t>2000年以降を表示させるには次のように年に「2000」を加えた数式にします。</t>
  </si>
  <si>
    <r>
      <t>=DATE(INT(050503/10000</t>
    </r>
    <r>
      <rPr>
        <sz val="11"/>
        <color indexed="10"/>
        <rFont val="ＭＳ Ｐゴシック"/>
        <family val="3"/>
      </rPr>
      <t>+2000</t>
    </r>
    <r>
      <rPr>
        <sz val="11"/>
        <rFont val="ＭＳ Ｐゴシック"/>
        <family val="3"/>
      </rPr>
      <t>),MOD(INT(050503/100),100),MOD(050503,100))</t>
    </r>
  </si>
  <si>
    <t>●TEXT関数を使った日付の計算</t>
  </si>
  <si>
    <t>TEXT関数を使っても日付計算ができます。</t>
  </si>
  <si>
    <t>→TEXT関数</t>
  </si>
  <si>
    <t>=TEXT(NOW(),"yyyy/m/d")-TEXT("2005/1/1","yyyy/m/d")</t>
  </si>
  <si>
    <t>・今日は今年になってから何日目か</t>
  </si>
  <si>
    <t>=TEXT("2006/1/1","yyyy/m/d")-TEXT(TODAY(),"yyyy/m/d")</t>
  </si>
  <si>
    <t>・来年まで残り何日か</t>
  </si>
  <si>
    <t>=HOUR(0.78125)</t>
  </si>
  <si>
    <t>0.78125は18.45を表します。</t>
  </si>
  <si>
    <t>=HOUR("17:30")-1</t>
  </si>
  <si>
    <t>=HOUR("17:30")-1 &amp; ":" &amp;MINUTE("17:30")</t>
  </si>
  <si>
    <t>=HOUR("17:30")+2 &amp; ":" &amp;MINUTE("17:30")</t>
  </si>
  <si>
    <t>=HOUR("17:30")+2</t>
  </si>
  <si>
    <t>1時間前(分が不明）</t>
  </si>
  <si>
    <t>2時間後（分が不明)</t>
  </si>
  <si>
    <t>=HOUR(TIMEVALUE("3:30 PM"))</t>
  </si>
  <si>
    <t>●TIMEVALUE関数との組み合わせ</t>
  </si>
  <si>
    <t>=HOUR(TIMEVALUE("3:30"))</t>
  </si>
  <si>
    <t>MINUTE関数</t>
  </si>
  <si>
    <t>時刻の分を返します。</t>
  </si>
  <si>
    <t>戻り値は 0 (分) ～59 (分) の範囲の整数となります。</t>
  </si>
  <si>
    <t>戻り値は 0 (午前 0 時) ～ 23 (午後 11 時) の範囲の整数となります。</t>
  </si>
  <si>
    <t>MINUTE(シリアル値）</t>
  </si>
  <si>
    <t>検索する分を指定します。時刻には、半角の二重引用符 (") で囲んだ文字列 ("6:45 PM" など)、小数 (6:45 PM を表す 0.78125)、または他の数式または関数の結果 (TIMEVALUE("6:45 PM") など) を指定します。</t>
  </si>
  <si>
    <t>=MINUTE("10:15")</t>
  </si>
  <si>
    <t>=MINUTE("17:15")</t>
  </si>
  <si>
    <t>=MINUTE("2:30 AM")</t>
  </si>
  <si>
    <t>=MINUTE("2:30 PM")</t>
  </si>
  <si>
    <t>=MINUTE(0.78125)</t>
  </si>
  <si>
    <t>=MINUTE(TIMEVALUE("3:30 PM"))</t>
  </si>
  <si>
    <t>=MINUTE(TIMEVALUE("3:30"))</t>
  </si>
  <si>
    <t>=MINUTE("17:30")-1</t>
  </si>
  <si>
    <t>時刻の分のみを表示します。</t>
  </si>
  <si>
    <t>時刻の分のみを表示します。</t>
  </si>
  <si>
    <t>1分前</t>
  </si>
  <si>
    <t>=HOUR("17:30") &amp; ":" &amp;MINUTE("17:30")-1</t>
  </si>
  <si>
    <t>=MINUTE("17:30")+MINUTE("18:45")</t>
  </si>
  <si>
    <t>分だけの加算</t>
  </si>
  <si>
    <t>=HOUR("17:30")+2 &amp; ":" &amp;MINUTE("17:30")+15</t>
  </si>
  <si>
    <t>="開始" &amp; MINUTE("4:30 PM") &amp; "分前です。"</t>
  </si>
  <si>
    <t>="今は" &amp; MINUTE(NOW()) &amp; "分です。"</t>
  </si>
  <si>
    <t>SECOND関数</t>
  </si>
  <si>
    <t>時刻の秒を返します。</t>
  </si>
  <si>
    <t>SECOND(シリアル値）</t>
  </si>
  <si>
    <t>=SECOND("2:30 PM")</t>
  </si>
  <si>
    <t>=SECOND("10:15:35")</t>
  </si>
  <si>
    <t>時刻の秒のみを表示します。</t>
  </si>
  <si>
    <t>戻り値は 0 (秒) ～59 (秒) の範囲の整数となります。
1秒未満は小数点第1位を五捨六入されます。</t>
  </si>
  <si>
    <t>=SECOND("17:15:9.6")</t>
  </si>
  <si>
    <t>=SECOND("17:15:9.5")</t>
  </si>
  <si>
    <t>1秒未満(0.5以下)を切捨て。</t>
  </si>
  <si>
    <t>1秒未満（0.6以上）を切り上げ。</t>
  </si>
  <si>
    <t>秒を指定しない場合は、0を表示します。</t>
  </si>
  <si>
    <t>=SECOND(0.323263889)</t>
  </si>
  <si>
    <t>0.323263889は7:45.30を表します。</t>
  </si>
  <si>
    <t>=SECOND(TIMEVALUE("3:30:30 PM"))</t>
  </si>
  <si>
    <t>=SECOND(TIMEVALUE("3:30:45"))</t>
  </si>
  <si>
    <t>=SECOND("17:30:50")-1</t>
  </si>
  <si>
    <t>1秒前</t>
  </si>
  <si>
    <t>=SECOND("17:30:50")-55</t>
  </si>
  <si>
    <t>="打ち上げ" &amp; SECOND("4:30:10 PM") &amp; "秒前です。"</t>
  </si>
  <si>
    <t>="実験から" &amp; SECOND(NOW()) &amp; "秒経過です。"</t>
  </si>
  <si>
    <t>WEEKDAY関数</t>
  </si>
  <si>
    <t>日付を表すシリアル値から、その日付に対応する曜日を返します。</t>
  </si>
  <si>
    <t>日付を表すシリアル値から、その日付に対応する曜日を返します。</t>
  </si>
  <si>
    <t>既定では、戻り値は 1 (日曜) から 7 (土曜) までの範囲の整数となります。</t>
  </si>
  <si>
    <t>種類</t>
  </si>
  <si>
    <t>1 (月曜) 〜 7 (日曜) の範囲の整数</t>
  </si>
  <si>
    <t>0 (月曜) 〜 6 (日曜) の範囲の整数</t>
  </si>
  <si>
    <t>1又は省略</t>
  </si>
  <si>
    <t>=WEEKDAY("2005/2/14")</t>
  </si>
  <si>
    <t>=WEEKDAY("2005/2/14",2)</t>
  </si>
  <si>
    <t>=WEEKDAY("2005/2/14",3)</t>
  </si>
  <si>
    <t>検索する日付のシリアル値を指定します。日付は、DATE 関数を使って入力するか、ほかの数式またはほかの関数の結果を指定します。半角の二重引用符 (") で囲んだ文字列 ("2005/2/14" など) を指定します。</t>
  </si>
  <si>
    <t>●TEXT関数との組み合わせ</t>
  </si>
  <si>
    <t>=TEXT(WEEKDAY("2005/2/14"),"AAAA")</t>
  </si>
  <si>
    <t>1 (日曜) 〜 7 (土曜) の範囲の整数。以前のバージョンの Excel と結果は同じ。通常使用</t>
  </si>
  <si>
    <t>="2005年2月14日は" &amp; TEXT(WEEKDAY("2005/2/14"),"AAAA") &amp; "です。"</t>
  </si>
  <si>
    <t>="今日は" &amp; TEXT(WEEKDAY(NOW()),"AAAA") &amp; "です。"</t>
  </si>
  <si>
    <t>=TEXT(WEEKDAY("2005/2/14",2),"AAAA")</t>
  </si>
  <si>
    <t>=WEEKDAY("2005/2/14")-1</t>
  </si>
  <si>
    <t>前日の曜日</t>
  </si>
  <si>
    <t>=WEEKDAY("2005/2/14")+2</t>
  </si>
  <si>
    <t>2日後の曜日</t>
  </si>
  <si>
    <t>曜日</t>
  </si>
  <si>
    <t>日曜日</t>
  </si>
  <si>
    <t>月曜日</t>
  </si>
  <si>
    <t>火曜日</t>
  </si>
  <si>
    <t>水曜日</t>
  </si>
  <si>
    <t>木曜日</t>
  </si>
  <si>
    <t>金曜日</t>
  </si>
  <si>
    <t>土曜日</t>
  </si>
  <si>
    <t>●VLOOKUP関数を使用した曜日検索</t>
  </si>
  <si>
    <t>種類の2と3の使用については不明です。</t>
  </si>
  <si>
    <t>WEEKNUM関数</t>
  </si>
  <si>
    <t>NETWORKDAYS(開始日,終了日,祭日)</t>
  </si>
  <si>
    <t>=NETWORKDAYS("2005/2/1","2005/2/28")</t>
  </si>
  <si>
    <t>=NETWORKDAYS("2005/2/1","2005/2/29")</t>
  </si>
  <si>
    <t>2005/2/29は無効</t>
  </si>
  <si>
    <t>=NETWORKDAYS("2005/2/1","2005/1/1")</t>
  </si>
  <si>
    <t>終了日が開始日の前</t>
  </si>
  <si>
    <t>1/10を含む</t>
  </si>
  <si>
    <t>2/11を含む</t>
  </si>
  <si>
    <t>3/21を含む</t>
  </si>
  <si>
    <t>=NETWORKDAYS("2005/3/1","2005/3/31")</t>
  </si>
  <si>
    <t>同年は計算可能</t>
  </si>
  <si>
    <t>=NETWORKDAYS("2/1","2/28")</t>
  </si>
  <si>
    <t>=NETWORKDAYS("2005/2/1","2006/1/31")</t>
  </si>
  <si>
    <t>祝日を含んだ稼働日</t>
  </si>
  <si>
    <t>=NETWORKDAYS("2005/1/31","-2005/2/1")</t>
  </si>
  <si>
    <t>=NETWORKDAYS("1899/12/31","1900/1/1")</t>
  </si>
  <si>
    <t>=NETWORKDAYS("2005/1/1","2005/1/31")</t>
  </si>
  <si>
    <t>●祝日を指定した稼働日算出</t>
  </si>
  <si>
    <t>稼働日</t>
  </si>
  <si>
    <t>1，2月の祝日を除外</t>
  </si>
  <si>
    <t>「○歳○ヶ月○日」というような表示をするのであれば、「=DATEDIF(B35,C35,"Y") &amp; "歳" &amp; DATEDIF(B35,C35,"YM") &amp; "ヶ月" &amp; DATEDIF(B35,C35,"MD") &amp; "日"」と記述します。</t>
  </si>
  <si>
    <t>=DATEDIF($C$80,B83,"Y")</t>
  </si>
  <si>
    <t>=DATEDIF($C$80,B84+1,"Y")</t>
  </si>
  <si>
    <t>=DATEDIF($C$80,B85,"Y")</t>
  </si>
  <si>
    <t>=DATEDIF($C$80,B86+1,"Y")</t>
  </si>
  <si>
    <t>=YEARFRAC(C39,C40,C41)</t>
  </si>
  <si>
    <t>=NETWORKDAYS("2005/1/1","2005/2/28",B32:B46) &amp; "日"</t>
  </si>
  <si>
    <t>=NETWORKDAYS(TODAY(),"2005/2/28",B32:B46) &amp; "日"</t>
  </si>
  <si>
    <t>=NETWORKDAYS("2005/1/1","2005/1/31","1/10")*C69</t>
  </si>
  <si>
    <t>=EOMONTH(B44,2)</t>
  </si>
  <si>
    <t>=EOMONTH($B$44,2)</t>
  </si>
  <si>
    <t>=EOMONTH(C50,2)</t>
  </si>
  <si>
    <t>=EDATE(C52,2)</t>
  </si>
  <si>
    <t>=TIMEVALUE(C31)</t>
  </si>
  <si>
    <t>=TIMEVALUE(C35)</t>
  </si>
  <si>
    <t>=TIMEVALUE(E43)</t>
  </si>
  <si>
    <t>=TIMEVALUE(C43)</t>
  </si>
  <si>
    <t>=DATEVALUE(E41)</t>
  </si>
  <si>
    <t>=TIME(B39,C39,D39)</t>
  </si>
  <si>
    <t>=TIME(C44)</t>
  </si>
  <si>
    <t>="今は"&amp;TEXT((C34),"yyyyy/m/d aaaa h:mm:ss")&amp;"です。"</t>
  </si>
  <si>
    <t>="今日は"&amp;TEXT((C33),"yyyyy/m/d aaaa")&amp;"です。"</t>
  </si>
  <si>
    <t>=NETWORKDAYS("2005/1/1",TODAY(),B33:B47) &amp; "日"</t>
  </si>
  <si>
    <t>●TODAY関数を利用した稼働日算出</t>
  </si>
  <si>
    <t>ある特定の開始日から今日までの稼働日数は？</t>
  </si>
  <si>
    <t>今日から特定の終了日までの稼働日数は？</t>
  </si>
  <si>
    <t>祝日をセルで作成し、参照する</t>
  </si>
  <si>
    <t>=NETWORKDAYS("2005/1/1","2005/2/28",{"1/10";"2/11"}) &amp; "日"</t>
  </si>
  <si>
    <t>祝日を配列定数で指定する</t>
  </si>
  <si>
    <t>賃金（日給）</t>
  </si>
  <si>
    <t>1月分の給料は</t>
  </si>
  <si>
    <t>カンマは列が異なる場合、セミコロンは行が異なる場合に使用します。</t>
  </si>
  <si>
    <r>
      <t>配列定数の形式は中カッコ「</t>
    </r>
    <r>
      <rPr>
        <b/>
        <sz val="11"/>
        <color indexed="12"/>
        <rFont val="ＭＳ Ｐゴシック"/>
        <family val="3"/>
      </rPr>
      <t>{　}</t>
    </r>
    <r>
      <rPr>
        <sz val="11"/>
        <rFont val="ＭＳ Ｐゴシック"/>
        <family val="3"/>
      </rPr>
      <t>」を使用します。</t>
    </r>
  </si>
  <si>
    <r>
      <t>値の区切りは、カンマ「</t>
    </r>
    <r>
      <rPr>
        <b/>
        <sz val="11"/>
        <color indexed="12"/>
        <rFont val="ＭＳ Ｐゴシック"/>
        <family val="3"/>
      </rPr>
      <t>,</t>
    </r>
    <r>
      <rPr>
        <sz val="11"/>
        <rFont val="ＭＳ Ｐゴシック"/>
        <family val="3"/>
      </rPr>
      <t>」もしくはセミコロン「</t>
    </r>
    <r>
      <rPr>
        <b/>
        <sz val="11"/>
        <color indexed="12"/>
        <rFont val="ＭＳ Ｐゴシック"/>
        <family val="3"/>
      </rPr>
      <t>;</t>
    </r>
    <r>
      <rPr>
        <sz val="11"/>
        <rFont val="ＭＳ Ｐゴシック"/>
        <family val="3"/>
      </rPr>
      <t>」を使用します。</t>
    </r>
  </si>
  <si>
    <r>
      <t>値が文字列の場合にはダブルクォーテーション「</t>
    </r>
    <r>
      <rPr>
        <b/>
        <sz val="11"/>
        <color indexed="12"/>
        <rFont val="ＭＳ Ｐゴシック"/>
        <family val="3"/>
      </rPr>
      <t>"</t>
    </r>
    <r>
      <rPr>
        <sz val="11"/>
        <rFont val="ＭＳ Ｐゴシック"/>
        <family val="3"/>
      </rPr>
      <t>」で前後をくくります。</t>
    </r>
  </si>
  <si>
    <t>2005年2月1日を開始日（0日目）として、28日稼動した時(28番目の日）の年月日</t>
  </si>
  <si>
    <t>国民の祝日を引数に指定しないと正確な稼働日を表示できない（土日のみカウント）。</t>
  </si>
  <si>
    <t>2/11を稼働日（休日ではない）としてカウント。</t>
  </si>
  <si>
    <t>開始日が土曜日であっても、直近の稼働日（月曜日）からカウントし、祝日を含んでいる。</t>
  </si>
  <si>
    <t>3/21を稼働日としてカウント。</t>
  </si>
  <si>
    <t>4/18を稼働日でカウント。4/29を稼働日から除いた稼動日数に設定（間違い稼働日数設定）。</t>
  </si>
  <si>
    <t>6/1から稼働日数をカウントしたために、稼働日数の設定が間違っている。</t>
  </si>
  <si>
    <t>7/1から稼働日数をカウントしたために、稼働日数の設定が間違っている。</t>
  </si>
  <si>
    <t>8/1から稼働日数をカウントしたために、稼働日数の設定が間違っている。</t>
  </si>
  <si>
    <r>
      <t xml:space="preserve">●開始日    
</t>
    </r>
    <r>
      <rPr>
        <sz val="11"/>
        <rFont val="ＭＳ Ｐゴシック"/>
        <family val="3"/>
      </rPr>
      <t>起算日を表す日付を指定します。</t>
    </r>
    <r>
      <rPr>
        <sz val="11"/>
        <color indexed="10"/>
        <rFont val="ＭＳ Ｐゴシック"/>
        <family val="3"/>
      </rPr>
      <t>「開始日」は「日数」には含まれません。</t>
    </r>
  </si>
  <si>
    <t>2月</t>
  </si>
  <si>
    <t>3月</t>
  </si>
  <si>
    <t>4月</t>
  </si>
  <si>
    <t>5月</t>
  </si>
  <si>
    <t>6月</t>
  </si>
  <si>
    <t>7月</t>
  </si>
  <si>
    <t>8月</t>
  </si>
  <si>
    <t>9月</t>
  </si>
  <si>
    <t>10月</t>
  </si>
  <si>
    <t>11月</t>
  </si>
  <si>
    <t>12月</t>
  </si>
  <si>
    <t>●土日以外の休日(祝日）一覧を用意して計算</t>
  </si>
  <si>
    <t>=WORKDAY("2005/1/1",120,C152:E163)</t>
  </si>
  <si>
    <t>土日以外の年間稼働日</t>
  </si>
  <si>
    <t>=NETWORKDAYS("2005/3/1","2005/12/31")</t>
  </si>
  <si>
    <t>=NETWORKDAYS("2005/1/1","2005/12/31",B32:B46) &amp; "日"</t>
  </si>
  <si>
    <t>土日、祝日を除いた年間稼働日数</t>
  </si>
  <si>
    <t>元旦から稼働日120日目</t>
  </si>
  <si>
    <t>=WORKDAY(WORKDAY("2005/1/1",120,C152:E163),-10)</t>
  </si>
  <si>
    <t>……</t>
  </si>
  <si>
    <t>23:00:00
……</t>
  </si>
  <si>
    <t>ユリウス日と
ユリウス暦</t>
  </si>
  <si>
    <t>●ある年が閏年（うるうどし）かどうかを計算する方法</t>
  </si>
  <si>
    <t>=DATE(2008,3,1)-DATE(2008,2,1)</t>
  </si>
  <si>
    <t>=DATE(2008,3,0)</t>
  </si>
  <si>
    <t>調べたい年をセルに記入し、そのセルを参照するようにすると入力が楽です。</t>
  </si>
  <si>
    <t>調べたい年</t>
  </si>
  <si>
    <t>入力する値をリスト化することも可能です。</t>
  </si>
  <si>
    <t>年リスト</t>
  </si>
  <si>
    <t>EOMONTH 関数(アドイン関数）を使った方法。</t>
  </si>
  <si>
    <t>=DAY(EOMONTH(DATE(2006,2,1),0))</t>
  </si>
  <si>
    <t>→DATE関数</t>
  </si>
  <si>
    <t>=(EOMONTH(DATE(2005,2,1),0))</t>
  </si>
  <si>
    <t>月末（月数を「0」に指定）</t>
  </si>
  <si>
    <t>=TODAY()-DATE(YEAR(TODAY()),MONTH(TODAY()),1)</t>
  </si>
  <si>
    <t>●今月になってから何日経過したかを計算する方法</t>
  </si>
  <si>
    <t>●今年になってから何日経過したかを計算する方法</t>
  </si>
  <si>
    <t>=TODAY()-DATE(YEAR(TODAY()),1,1)</t>
  </si>
  <si>
    <t>この計算方法は「片端 (かたはし) 落ち」といい、起算日または満期日のどちらかを数えないというものであり、日付・日数計算では一般的なものです。</t>
  </si>
  <si>
    <t>●誕生日から今日まで何年何ヶ月何日経過したかを算出する方法</t>
  </si>
  <si>
    <t>DATEDIF 関数を使用する ことで求めることができます。</t>
  </si>
  <si>
    <t>終了日(今日）</t>
  </si>
  <si>
    <t>→DATEDIF関数</t>
  </si>
  <si>
    <t>●来年まであと何日かを計算する方法</t>
  </si>
  <si>
    <t>=DATE(YEAR(TODAY())+1,1,1)-TODAY()</t>
  </si>
  <si>
    <t>→DAY関数</t>
  </si>
  <si>
    <t>→TODAY関数</t>
  </si>
  <si>
    <t>→YEAR関数</t>
  </si>
  <si>
    <t>この計算方法は、YEAR関数がTODAY関数から今年の「年」の値を取得し、DATE関数が取得した年と指定した月「1」、日「1」の引数から「2005/1/1」の値を持つことになります。今日が 1 月 1 日の場合には、経過日数が 0 日であり、1 月 2 日になってから 1 日経過したということになります。</t>
  </si>
  <si>
    <t>●セルの書式設定には注意が必要</t>
  </si>
  <si>
    <t>セルB47からD47まで年、月、日のデータが入力されています。</t>
  </si>
  <si>
    <t>セルB51からD51にはそれぞれ「=YEAR(DATE($B$47,$C$47,$D$47))」、
「=MONTH(DATE($B$47,$C$47,$D$47))」、
「=DAY(DATE($B$47,$C$47,$D$47))」と数式が入力されています。</t>
  </si>
  <si>
    <t>セルB51からD51の書式が「日付」になっています。</t>
  </si>
  <si>
    <t>セルB51からD51の書式を「標準」に変更すると、それぞれの表示はセルB73からD73になります。</t>
  </si>
  <si>
    <t>日付はシリアル値で管理されており、「1900/1/1」がシリアル値「1」になります。表示形式の分類が「日付」になっていると、取得したシリアル値を表示してしまいます。
表示形式には十分注意が必要です。</t>
  </si>
  <si>
    <t>=DATE(B47,C47,D47)</t>
  </si>
  <si>
    <t>=DAY(DATE(B47,C47,D47))</t>
  </si>
  <si>
    <t>↓</t>
  </si>
  <si>
    <r>
      <t>←</t>
    </r>
    <r>
      <rPr>
        <sz val="11"/>
        <color indexed="10"/>
        <rFont val="ＭＳ Ｐゴシック"/>
        <family val="3"/>
      </rPr>
      <t>書式確認</t>
    </r>
    <r>
      <rPr>
        <b/>
        <i/>
        <sz val="11"/>
        <color indexed="10"/>
        <rFont val="ＭＳ Ｐゴシック"/>
        <family val="3"/>
      </rPr>
      <t>！</t>
    </r>
  </si>
  <si>
    <t>セルの書式設定には注意が必要</t>
  </si>
  <si>
    <t>●配列定数とは</t>
  </si>
  <si>
    <t>配列定数とは</t>
  </si>
  <si>
    <t>直接入力</t>
  </si>
  <si>
    <t>用語・補足</t>
  </si>
  <si>
    <t>DATE関数で日にちの指定を「0」にすることにより、前月の最終日を表示する方法。</t>
  </si>
  <si>
    <t>該当する月の翌月の 1 日から該当する月の 1 日を引き算するという方法。</t>
  </si>
  <si>
    <r>
      <t>今日の日付(</t>
    </r>
    <r>
      <rPr>
        <sz val="11"/>
        <rFont val="ＭＳ Ｐゴシック"/>
        <family val="3"/>
      </rPr>
      <t>TODAY関数）</t>
    </r>
    <r>
      <rPr>
        <sz val="11"/>
        <rFont val="ＭＳ Ｐゴシック"/>
        <family val="3"/>
      </rPr>
      <t>から今年の 1 月 1 日の値を引きます。</t>
    </r>
  </si>
  <si>
    <t>→MONTH関数</t>
  </si>
  <si>
    <t>今日の日付(TODAY関数）から今月 1 日の値を引きます。</t>
  </si>
  <si>
    <t>DATE関数の引数は、そのネストであるYEAR関数とMONTH関数によりTODAY関数からそれぞれ年と月の値を取得します。日は「1」と指定しています。今日を「2005/2/16」とするとDATE関数は「2005/2/1」となり、「2005/2/16-2005/2/1=15」の計算が行われます。</t>
  </si>
  <si>
    <t>●目的の日まであと何日かを計算する</t>
  </si>
  <si>
    <t>目的の日</t>
  </si>
  <si>
    <t>セル書式「数値」</t>
  </si>
  <si>
    <t>●簡単な日付の計算</t>
  </si>
  <si>
    <t>年月日1</t>
  </si>
  <si>
    <t>年月日2</t>
  </si>
  <si>
    <t>セルにそれぞれ年月日を入力し、その差を計算させ、セル書式を「数値」に設定します。</t>
  </si>
  <si>
    <t>=B6-C6</t>
  </si>
  <si>
    <t>=TODAY()-DATE(2005,1,1)</t>
  </si>
  <si>
    <t>次の数式でも計算できます。</t>
  </si>
  <si>
    <t>次のようにセルにそれぞれ日付を入力し、その計算式を別のセルに記述します。</t>
  </si>
  <si>
    <t>=DATE(C17,3,0)</t>
  </si>
  <si>
    <t>=DATE(C19,3,0)</t>
  </si>
  <si>
    <t>B36=TODAY()</t>
  </si>
  <si>
    <t>=B36-C36</t>
  </si>
  <si>
    <t>セルの参照による計算</t>
  </si>
  <si>
    <t>=B60-C60</t>
  </si>
  <si>
    <t>=DATE(YEAR(C66),MONTH(C66),DAY(C66))-TODAY()</t>
  </si>
  <si>
    <t>=(DATE(2101,1,1)-C65) &amp; "日"</t>
  </si>
  <si>
    <t>=DATEDIF(B79,C79,"Y")&amp;"年"&amp; DATEDIF(B795,C79,"YM") &amp; "ヶ月" &amp; DATEDIF(B79,C79,"MD") &amp; "日"</t>
  </si>
  <si>
    <t>●8桁の数値を日付を表すシリアル値に変換するには</t>
  </si>
  <si>
    <t>=DATE(INT(20050201/10000),MOD(INT(20050201/100),100),MOD(20050201,100))</t>
  </si>
  <si>
    <t>前提</t>
  </si>
  <si>
    <t>1 桁台の月数や日数 (1 ～ 9 月／日) の場合には、「 01 」というように数字の前に ゼロが入って必ず 8 桁になっていること。</t>
  </si>
  <si>
    <t>8 桁の数値をシリアル値にするためには、年数と月数と日数に分ける必要があります。</t>
  </si>
  <si>
    <t>方法</t>
  </si>
  <si>
    <t>年数を算出方法 8 桁の数値を 10000 で割った商の値</t>
  </si>
  <si>
    <t>月数の算出方法 8 桁の数値を 100 で割った商の整数部分を 100 で割った余りの値</t>
  </si>
  <si>
    <t>日数の算出方法 8 桁の数値を 100 で割った余りの値</t>
  </si>
  <si>
    <t xml:space="preserve">               </t>
  </si>
  <si>
    <t>=DATE(INT(8 桁の数値/10000),MOD(INT(8 桁の数値/100),100),MOD(8 桁の数値,100))</t>
  </si>
  <si>
    <t>数値を除数で割ったときの剰余を返します。</t>
  </si>
  <si>
    <t>MOD(数値,除数)</t>
  </si>
  <si>
    <t>◇INT関数</t>
  </si>
  <si>
    <t>◇MOD関数</t>
  </si>
  <si>
    <t>指定した数値を超えない最大の整数を返します。</t>
  </si>
  <si>
    <t>INT(数値)</t>
  </si>
  <si>
    <t>セルを参照して計算式を記述することも可能です。</t>
  </si>
  <si>
    <t>セル値</t>
  </si>
  <si>
    <t>●6桁の数値を日付を表すシリアル値に変換するには</t>
  </si>
  <si>
    <t>年数 4 桁、月数 2 桁、日数 2 桁という 8 桁の数値 (例、 20050201)を変換させます。</t>
  </si>
  <si>
    <t>=DATE(INT(050503/10000),MOD(INT(050503/100),100),MOD(050503,100))</t>
  </si>
  <si>
    <t>日付がその年の第何週目に当たるかを返します。</t>
  </si>
  <si>
    <t>日付がその年の第何週目に当たるかを返します。</t>
  </si>
  <si>
    <t>分析ツールアドイン</t>
  </si>
  <si>
    <t>この関数が使用できず、エラー値 #NAME? が返される場合は、分析ツール アドインを組み込む必要があります。</t>
  </si>
  <si>
    <t>WEEKDAY(シリアル値,種類）</t>
  </si>
  <si>
    <t>WEEKNUM(シリアル値,週の基準）</t>
  </si>
  <si>
    <t>関数が入力される前に、セルの表示形式が [標準] であった場合、計算結果は日付形式で表示されます。</t>
  </si>
  <si>
    <t>TIME関数</t>
  </si>
  <si>
    <t>TIME</t>
  </si>
  <si>
    <t>指定された時刻に対応する小数を返します。</t>
  </si>
  <si>
    <r>
      <t xml:space="preserve">●時
</t>
    </r>
    <r>
      <rPr>
        <sz val="11"/>
        <rFont val="ＭＳ Ｐゴシック"/>
        <family val="3"/>
      </rPr>
      <t>時を表す数値を 0 ～ 32767 の範囲で指定します。23 を超える値は 24 で除算され、剰余が時間として計算されます。たとえば、TIME(27,0,0) は TIME(3,0,0) と見なされ、計算結果の値は 0.125 または 3:00 AM となります。</t>
    </r>
  </si>
  <si>
    <r>
      <t>●分</t>
    </r>
    <r>
      <rPr>
        <sz val="11"/>
        <rFont val="ＭＳ Ｐゴシック"/>
        <family val="3"/>
      </rPr>
      <t>　
分を表す数値を 0 ～ 32767 の範囲で指定します。59 を超える値は時と分に変換されます。たとえば、TIME(0,750,0) は TIME(12,30,0) と見なされ、計算結果の値は 0.520833 または 12:30 PM となります。</t>
    </r>
  </si>
  <si>
    <r>
      <t>●秒</t>
    </r>
    <r>
      <rPr>
        <sz val="11"/>
        <rFont val="ＭＳ Ｐゴシック"/>
        <family val="3"/>
      </rPr>
      <t>　
秒を表す数値を 0 ～ 32767 の範囲で指定します。59 を超える値は時、分、秒に変換されます。たとえば、TIME(0,0,2000) は TIME(0,33,22) と見なされ、計算結果の値は 0.023148 または 12:33:20 AM となります。</t>
    </r>
  </si>
  <si>
    <t>=TIME(13,30,25)</t>
  </si>
  <si>
    <t>計算結果の小数は、0 ～ 0.99999999 の範囲にある値で、0:00:00 (午前 0 時) から 23:59:59 (午後 11 時 59 分 59 秒) までの時刻を表します。</t>
  </si>
  <si>
    <t>セル書式</t>
  </si>
  <si>
    <t>=TIME(-14,9,10)</t>
  </si>
  <si>
    <t>負数の場合</t>
  </si>
  <si>
    <t>=TIME(25,70,70)</t>
  </si>
  <si>
    <t>時、分、秒が繰り上がって表示</t>
  </si>
  <si>
    <t>セルを指定する場合には、「時」、「分」、「秒」をそれぞれ分けて入力する。</t>
  </si>
  <si>
    <t>時</t>
  </si>
  <si>
    <t>分</t>
  </si>
  <si>
    <t>秒</t>
  </si>
  <si>
    <t>=TIME(10,0,0)+(1/24)</t>
  </si>
  <si>
    <t>=TIME(10,0,0)+(1/24*60)</t>
  </si>
  <si>
    <t>時の加算</t>
  </si>
  <si>
    <t>分の加算</t>
  </si>
  <si>
    <t>秒の加算</t>
  </si>
  <si>
    <t>=TIME(10,0,0)+(1/(24*60*60))</t>
  </si>
  <si>
    <t>●セルの値を利用する場合</t>
  </si>
  <si>
    <t>セルの値</t>
  </si>
  <si>
    <t>TIME(時,分,秒)　引数が少ない場合エラーメッセージを表示します。</t>
  </si>
  <si>
    <t>入力を認めません（エラー表示）</t>
  </si>
  <si>
    <t>※1つのセルに表示された時刻を引数にすることはできません。</t>
  </si>
  <si>
    <t>作業時間</t>
  </si>
  <si>
    <t>日付の場合</t>
  </si>
  <si>
    <t>時刻の場合</t>
  </si>
  <si>
    <t>時刻</t>
  </si>
  <si>
    <t>……</t>
  </si>
  <si>
    <t>時間の計算</t>
  </si>
  <si>
    <t>日付の計算</t>
  </si>
  <si>
    <t>DATEVALUE関数</t>
  </si>
  <si>
    <t>日付文字列に指定した日付に対応するシリアル値を返します。
日付を表す文字列をシリアル値に変換するには、この関数を使用します。</t>
  </si>
  <si>
    <t>DATEVALUE(日付文字列)</t>
  </si>
  <si>
    <t>日付文字列に指定した日付に対応するシリアル値を返します。</t>
  </si>
  <si>
    <t>備考</t>
  </si>
  <si>
    <r>
      <t xml:space="preserve">日付文字列
</t>
    </r>
    <r>
      <rPr>
        <sz val="11"/>
        <rFont val="ＭＳ Ｐゴシック"/>
        <family val="3"/>
      </rPr>
      <t>日付を表す文字列を、Excel の組み込みの日付表示形式で指定します。たとえば、二重引用符で囲まれた "2008/1/30" または "30-Jan-2008" などの日付は、文字列を表します。1900 年日付システム (Windows 版 Excel の標準) を使用する場合、日付文字列には 1900 年 1 月 1 日 ～ 9999 年 12 月 31 日の範囲にある日付を表す文字列を指定する必要があります。
この範囲外の値を指定すると、エラー値</t>
    </r>
    <r>
      <rPr>
        <sz val="11"/>
        <rFont val="ＭＳ Ｐゴシック"/>
        <family val="3"/>
      </rPr>
      <t xml:space="preserve"> #VALUE! </t>
    </r>
    <r>
      <rPr>
        <sz val="11"/>
        <rFont val="ＭＳ Ｐゴシック"/>
        <family val="3"/>
      </rPr>
      <t>が返されます。</t>
    </r>
  </si>
  <si>
    <t>日付文字列の年の部分を省略すると、コンピュータのシステム時計による現在の年が使用されます。また、日付文字列に時刻の情報が含まれていても無視されます。</t>
  </si>
  <si>
    <t>=DATEVALUE("2005/2/14")</t>
  </si>
  <si>
    <t>=DATEVALUE("1-Apr-05")</t>
  </si>
  <si>
    <t>説明</t>
  </si>
  <si>
    <t>範囲外の値</t>
  </si>
  <si>
    <t>=DATEVALUE("1652-7-10")</t>
  </si>
  <si>
    <t>=DATEVALUE("2/15")</t>
  </si>
  <si>
    <t>現在の年を使用</t>
  </si>
  <si>
    <t>●セルの書式を日付にすると任意の表示が可能です。</t>
  </si>
  <si>
    <t>セルの書式設定</t>
  </si>
  <si>
    <t>=DATEVALUE("-1945/8/15")</t>
  </si>
  <si>
    <t>データ形式が正しくありません</t>
  </si>
  <si>
    <t>=DATEVALUE(C33)</t>
  </si>
  <si>
    <t>TIMEVALUE関数</t>
  </si>
  <si>
    <t>開始日から終了日までの期間に含まれる稼動日の日数を返します。稼動日とは、土曜、日曜、および指定された祭日を除く日のことです。この関数は、特定期間内の稼動日数を基準にして従業員の給与を計算するときに使用します。
この関数が使用できず、エラー値 #NAME? が返される場合は、分析ツール アドインを組み込む必要があります。</t>
  </si>
  <si>
    <t>開始日から終了日までの期間に含まれる稼動日の日数を返します。</t>
  </si>
  <si>
    <t>時間と日付の計算</t>
  </si>
  <si>
    <r>
      <t xml:space="preserve">●開始日   </t>
    </r>
    <r>
      <rPr>
        <sz val="11"/>
        <rFont val="ＭＳ Ｐゴシック"/>
        <family val="3"/>
      </rPr>
      <t xml:space="preserve"> 起算日を表す日付を指定します。</t>
    </r>
  </si>
  <si>
    <r>
      <t>●終了日</t>
    </r>
    <r>
      <rPr>
        <sz val="11"/>
        <rFont val="ＭＳ Ｐゴシック"/>
        <family val="3"/>
      </rPr>
      <t xml:space="preserve">    対象期間の最終日を表す日付を指定します。</t>
    </r>
  </si>
  <si>
    <r>
      <t>●祭日</t>
    </r>
    <r>
      <rPr>
        <sz val="11"/>
        <rFont val="ＭＳ Ｐゴシック"/>
        <family val="3"/>
      </rPr>
      <t xml:space="preserve">    国民の祝日や夏期休暇など、稼動日数の計算から除外する日を表す日付を指定します。この引数は省略することができます。日付を含む一連のセルか、日付を示すシリアル値の配列定数を指定できます。</t>
    </r>
  </si>
  <si>
    <t>引数に無効な日付を指定すると、エラー値 #VALUE! が返されます。</t>
  </si>
  <si>
    <t>文字列で表された時刻を小数に変換します。
この小数は、0 ～ 0.99999999 の範囲にある値で、0:00:00 (午前 0 時) から 23:59:59 (午後 11 時 59 分 59 秒) までの時刻を表します。</t>
  </si>
  <si>
    <t>TIMEVALUE(時刻文字列)</t>
  </si>
  <si>
    <t>文字列で表された時刻を小数に変換します。</t>
  </si>
  <si>
    <r>
      <t xml:space="preserve">時刻文字列   </t>
    </r>
    <r>
      <rPr>
        <sz val="11"/>
        <rFont val="ＭＳ Ｐゴシック"/>
        <family val="3"/>
      </rPr>
      <t xml:space="preserve"> 
時刻を表す文字列を、組み込みの時刻表示形式で指定します。たとえば、"6:45 PM" や "18:45" など、半角の二重引用符 (") で囲んだ文字列で指定します。
時刻文字列に含まれる日付の情報は無視されます。</t>
    </r>
  </si>
  <si>
    <t>=TIMEVALUE("12:00:00")</t>
  </si>
  <si>
    <t>=TIMEVALUE("2005/2/14 12:00:00")</t>
  </si>
  <si>
    <t>=TIMEVALUE("7:30 AM")</t>
  </si>
  <si>
    <t>=TIMEVALUE("-6:00:00")</t>
  </si>
  <si>
    <t>=TIMEVALUE("10000:00:00")</t>
  </si>
  <si>
    <t>=TIMEVALUE("9999:59:59")</t>
  </si>
  <si>
    <t>最大値</t>
  </si>
  <si>
    <t>セルの書式に「日付」を含めて表示するようにすると、シリアル値「1」未満の表示をします。</t>
  </si>
  <si>
    <t>●引数にセルを参照できません(既定）</t>
  </si>
  <si>
    <t>●日付を文字列として使用した場合には、引数にセルを参照できます。</t>
  </si>
  <si>
    <t>2005/2/15</t>
  </si>
  <si>
    <t>=DATEVALUE(C37)</t>
  </si>
  <si>
    <t>セル書式「日付」</t>
  </si>
  <si>
    <t>日付の先頭にシングルクォーテーション(’)付加</t>
  </si>
  <si>
    <r>
      <t>’</t>
    </r>
    <r>
      <rPr>
        <sz val="11"/>
        <rFont val="ＭＳ Ｐゴシック"/>
        <family val="3"/>
      </rPr>
      <t>2005/2/15</t>
    </r>
  </si>
  <si>
    <t>セル書式「時刻」</t>
  </si>
  <si>
    <t>●時刻を文字列として使用した場合には、引数にセルを参照できます。</t>
  </si>
  <si>
    <t>11:30:45</t>
  </si>
  <si>
    <t>’11:30:45</t>
  </si>
  <si>
    <t>●引数にセルを参照できません。</t>
  </si>
  <si>
    <t>●関数の結果を引数に参照することはできません</t>
  </si>
  <si>
    <t>=NOW()</t>
  </si>
  <si>
    <t>=TIMEVALUE(C39)</t>
  </si>
  <si>
    <t>=TIMEVALUE(E39)</t>
  </si>
  <si>
    <t>=$C$39</t>
  </si>
  <si>
    <t>●時刻をTEXT関数で文字列として使用した場合には、引数にセルを参照できます。</t>
  </si>
  <si>
    <t>=TEXT(NOW(),"h:mm:ss")</t>
  </si>
  <si>
    <t>=TEXT($C$39,"h:mm:ss")</t>
  </si>
  <si>
    <t>=TEXT(TODAY(),"YY/M/D")</t>
  </si>
  <si>
    <t>=TEXT($C$39,"YY/M/D")</t>
  </si>
  <si>
    <t>=DATEVALUE(C41)</t>
  </si>
  <si>
    <t>EDATE関数</t>
  </si>
  <si>
    <t>WORKDAY関数</t>
  </si>
  <si>
    <t>NETWORKDAYS関数</t>
  </si>
  <si>
    <t>DAYS360関数</t>
  </si>
  <si>
    <t>YEARFRAC関数</t>
  </si>
  <si>
    <t>開始日から起算して、指定された月数だけ前または後の日付に対応するシリアル値を返します。この関数を使用すると、伝票の発行日と同じ日に当たる支払日や満期日の日付を計算することができます。</t>
  </si>
  <si>
    <t>開始日から起算して、指定された月数だけ前または後の日付に対応するシリアル値を返します。</t>
  </si>
  <si>
    <t>この関数が使用できず、エラー値 #NAME? が返される場合は、分析ツール アドインを組み込む必要があります。</t>
  </si>
  <si>
    <t>EDATE(開始日,月)</t>
  </si>
  <si>
    <r>
      <t xml:space="preserve">●開始日    
</t>
    </r>
    <r>
      <rPr>
        <sz val="11"/>
        <rFont val="ＭＳ Ｐゴシック"/>
        <family val="3"/>
      </rPr>
      <t>起算日を表す日付を指定します。日付は、DATE 関数を使って入力するか、他の数式または他の関数の結果を指定します。たとえば、2008 年 5 月 23 日を入力する場合は、DATE (2008,5,23) を使用します。</t>
    </r>
  </si>
  <si>
    <r>
      <t>●月</t>
    </r>
    <r>
      <rPr>
        <sz val="11"/>
        <rFont val="ＭＳ Ｐゴシック"/>
        <family val="3"/>
      </rPr>
      <t xml:space="preserve">    
開始日から起算した月数を指定します。月に正の数を指定すると、起算日より後の日付を返し、負の数を指定すると、起算日より前の日付を返します。</t>
    </r>
  </si>
  <si>
    <t>開始日に無効な日付を指定すると、エラー値 #VALUE! が返されます。</t>
  </si>
  <si>
    <t>月に整数以外の値を指定すると、小数点以下は切り捨てられます。</t>
  </si>
  <si>
    <t>=EDATE("2005/1/31",1)</t>
  </si>
  <si>
    <t>=EDATE("2005/1/31",-1)</t>
  </si>
  <si>
    <t>起算日の前の日付</t>
  </si>
  <si>
    <t>=EDATE("2005/1/31",1.5)</t>
  </si>
  <si>
    <t>小数点以下は切り捨て</t>
  </si>
  <si>
    <t>=EDATE("9999/12/31",1)</t>
  </si>
  <si>
    <t>システム範囲外</t>
  </si>
  <si>
    <t>=EDATE("1899/12/31",1)</t>
  </si>
  <si>
    <t>起算日が無効な日付</t>
  </si>
  <si>
    <t>=EDATE(TODAY(),1)</t>
  </si>
  <si>
    <t>TODAY関数使用</t>
  </si>
  <si>
    <t>=EDATE(NOW(),2)</t>
  </si>
  <si>
    <t>NOW関数使用</t>
  </si>
  <si>
    <t>●応用：関数との組み合わせ</t>
  </si>
  <si>
    <t>●引数にセルを参照する</t>
  </si>
  <si>
    <t>=EDATE(B36,2)</t>
  </si>
  <si>
    <t>=EDATE($B$36,2)</t>
  </si>
  <si>
    <t>EOMONTH関数</t>
  </si>
  <si>
    <t>開始日から起算して、指定された月数だけ前または後の月の最終日に対応するシリアル値を返します。この関数を使用すると、月末に発生する満期日や支払日を計算することができます。
この関数が使用できず、エラー値 #NAME? が返される場合は、分析ツール アドインを組み込む必要があります。</t>
  </si>
  <si>
    <t>EOMONTH(開始日,月)</t>
  </si>
  <si>
    <t>開始日から起算して、指定された月数だけ前または後の月の最終日に対応するシリアル値を返します。</t>
  </si>
  <si>
    <r>
      <t xml:space="preserve">●開始日      
</t>
    </r>
    <r>
      <rPr>
        <sz val="11"/>
        <rFont val="ＭＳ Ｐゴシック"/>
        <family val="3"/>
      </rPr>
      <t>起算日を表す日付を指定します。日付は、DATE 関数を使って入力するか、他の数式または他の関数の結果を指定します。たとえば、2008 年 5 月 23 日を入力する場合は、DATE (2008,5,23) を使用します。</t>
    </r>
  </si>
  <si>
    <r>
      <t>●月</t>
    </r>
    <r>
      <rPr>
        <sz val="11"/>
        <rFont val="ＭＳ Ｐゴシック"/>
        <family val="3"/>
      </rPr>
      <t xml:space="preserve">
開始日から起算した月数を指定します。月に正の数を指定すると、起算日より後の日付を返し、負の数を指定すると、起算日より前の日付を返します。
月に整数以外の値を指定すると、小数点以下は切り捨てられます。</t>
    </r>
  </si>
  <si>
    <t xml:space="preserve">開始日と月との和が無効な日付である場合、エラー値 #NUM! が返されます。 </t>
  </si>
  <si>
    <t>=EOMONTH("2005/1/31",1)</t>
  </si>
  <si>
    <t>=EOMONTH("2005/1/31",-1)</t>
  </si>
  <si>
    <t>=EOMONTH("9999/12/31",1)</t>
  </si>
  <si>
    <t>=EOMONTH("1899/12/31",1)</t>
  </si>
  <si>
    <t>=EOMONTH(TODAY(),1)</t>
  </si>
  <si>
    <t>=EOMONTH(NOW(),2)</t>
  </si>
  <si>
    <t>=EOMONTH("2005/1/25",2)</t>
  </si>
  <si>
    <t>=EOMONTH("2005/1/25",1.5)</t>
  </si>
  <si>
    <t>=EDATE("2005/1/25",2)</t>
  </si>
  <si>
    <t>EOMONTH関数は起算日から指定した月数の末日を返します。</t>
  </si>
  <si>
    <t>EDATE関数は起算日から指定した月数の同じ日を返します。</t>
  </si>
  <si>
    <t>起算日</t>
  </si>
  <si>
    <t>=EOMONTH(C43,2)</t>
  </si>
  <si>
    <t>=EDATE(C45,2)</t>
  </si>
  <si>
    <t>→EOMONTH関数</t>
  </si>
  <si>
    <t>→EDATE関数</t>
  </si>
  <si>
    <t>=EOMONTH("2005/1/25",1)+1</t>
  </si>
  <si>
    <t>●応用</t>
  </si>
  <si>
    <t>=EOMONTH("2005/1/20",1)+10</t>
  </si>
  <si>
    <t>月末の翌日</t>
  </si>
  <si>
    <t>20日締め翌月10日</t>
  </si>
  <si>
    <t>月末締め翌々月5日</t>
  </si>
  <si>
    <t>=EOMONTH("2005/1/31",2)+5</t>
  </si>
  <si>
    <t>開始日から起算して、指定された稼動日数だけ前または後の日付に対応する値を返します。稼動日とは、土曜、日曜、および指定された祭日を除く日のことです。この関数を使用すると、納品書の支払日、発送日、作業日数などを計算するときに、週末や祭日を除くことができます。
この関数が使用できず、エラー値 #NAME? が返される場合は、分析ツール アドインを組み込む必要があります。</t>
  </si>
  <si>
    <t>開始日に無効な日付を指定すると、エラー値 #NUM! (#VALUE!)が返されます。</t>
  </si>
  <si>
    <t>=EOMONTH("1999/-12/31",2)</t>
  </si>
  <si>
    <t>無効な日付</t>
  </si>
  <si>
    <t>WORKDAY(開始日,日数,祭日)</t>
  </si>
  <si>
    <t>開始日から起算して、指定された稼動日数だけ前または後の日付に対応する値を返します</t>
  </si>
  <si>
    <r>
      <t>●日数</t>
    </r>
    <r>
      <rPr>
        <sz val="11"/>
        <rFont val="ＭＳ Ｐゴシック"/>
        <family val="3"/>
      </rPr>
      <t xml:space="preserve">
開始日から起算して、週末や祭日を除く週日の日数を指定します。日数に正の数を指定すると、起算日より後の日付となり、負の数を指定すると、起算日より前の日付となります。</t>
    </r>
  </si>
  <si>
    <r>
      <t>●祭日</t>
    </r>
    <r>
      <rPr>
        <sz val="11"/>
        <rFont val="ＭＳ Ｐゴシック"/>
        <family val="3"/>
      </rPr>
      <t xml:space="preserve">
国民の祝日や夏期休暇など、稼動日数の計算から除外する日付のリストを指定します。この引数は省略することができます。日付のリストには、日付を表すシリアル値が入力されているセル範囲、または配列定数 (配列 : 複数の結果を返す数式や、行および列範囲に入力された引数をまとめて処理する数式に使用される。配列範囲では、共通の数式が使用されます。配列定数は、引数として使用される定数の集まりです。)を指定できます。</t>
    </r>
  </si>
  <si>
    <t>日数に整数以外の値を指定すると、小数点以下が切り捨てられます。</t>
  </si>
  <si>
    <t xml:space="preserve">開始日と日数との和が無効な日付である場合、エラー値 #NUM! が返されます。 </t>
  </si>
  <si>
    <t>=WORKDAY("9999/12/31",1)</t>
  </si>
  <si>
    <t>=WORKDAY("1999/-12/31",2)</t>
  </si>
  <si>
    <t>=WORKDAY("1899/12/31",1)</t>
  </si>
  <si>
    <t>=WORKDAY("2005/1/25",10.5)</t>
  </si>
  <si>
    <t>=WORKDAY("2005/1/31",-10)</t>
  </si>
  <si>
    <t>=WORKDAY("2005/2/1",28)</t>
  </si>
  <si>
    <t>=WORKDAY("2005/2/1",10)</t>
  </si>
  <si>
    <t>祝日</t>
  </si>
  <si>
    <t>=WORKDAY("2005/5/1",10,E39:E40)</t>
  </si>
  <si>
    <t>月</t>
  </si>
  <si>
    <t>火</t>
  </si>
  <si>
    <t>水</t>
  </si>
  <si>
    <t>木</t>
  </si>
  <si>
    <t>金</t>
  </si>
  <si>
    <t>土</t>
  </si>
  <si>
    <t>5月</t>
  </si>
  <si>
    <t>2月</t>
  </si>
  <si>
    <t>1月</t>
  </si>
  <si>
    <t>3月</t>
  </si>
  <si>
    <t>6月</t>
  </si>
  <si>
    <t>7月</t>
  </si>
  <si>
    <t>8月</t>
  </si>
  <si>
    <t>9月</t>
  </si>
  <si>
    <t>10月</t>
  </si>
  <si>
    <t>12月</t>
  </si>
  <si>
    <t>11月</t>
  </si>
  <si>
    <t>4月</t>
  </si>
  <si>
    <t>5/2と5/6を休日とした場合</t>
  </si>
  <si>
    <t>5/20であるはずだが？</t>
  </si>
  <si>
    <t>●WORKDAY関数使用時の注意</t>
  </si>
  <si>
    <t>=WORKDAY("2005/5/1",19)</t>
  </si>
  <si>
    <t>5/3、5/4、5/5の3日間を休日としてみていない。</t>
  </si>
  <si>
    <t>=WORKDAY("2005/2/1",19)</t>
  </si>
  <si>
    <t>カレンダー通り</t>
  </si>
  <si>
    <t>=WORKDAY("2005/1/1",20)</t>
  </si>
  <si>
    <t>2005/5/31では？</t>
  </si>
  <si>
    <t>2005/1/31では？</t>
  </si>
  <si>
    <t>=WORKDAY("2005/3/1",22)</t>
  </si>
  <si>
    <t>=WORKDAY("2005/4/1",19)</t>
  </si>
  <si>
    <t>=WORKDAY("2005/6/1",22)</t>
  </si>
  <si>
    <t>2005/6/30では？</t>
  </si>
  <si>
    <t>=WORKDAY("2005/7/1",20)</t>
  </si>
  <si>
    <t>=WORKDAY("2005/8/1",23)</t>
  </si>
  <si>
    <t>2005/8/31では？</t>
  </si>
  <si>
    <t>=WORKDAY("2005/9/1",20)</t>
  </si>
  <si>
    <t>2005/9/30では？</t>
  </si>
  <si>
    <t>=WORKDAY("2005/10/1",20)</t>
  </si>
  <si>
    <t>2005/10/31では？</t>
  </si>
  <si>
    <t>=WORKDAY("2005/11/1",20)</t>
  </si>
  <si>
    <t>2005/11/30では？</t>
  </si>
  <si>
    <t>=WORKDAY("2005/12/1",21)</t>
  </si>
  <si>
    <t>=(DATE(2101,1,1)-B50)</t>
  </si>
  <si>
    <t>=TODAY()</t>
  </si>
  <si>
    <t>←シリアル値</t>
  </si>
  <si>
    <t>http://www.microsoft.com/japan/users/office_expert/200304/03.asp</t>
  </si>
  <si>
    <t>Microsoftの下記サイトによると、</t>
  </si>
  <si>
    <t>「祭日の引数には、土日以外の休日一覧を入力したセル範囲を指定」する必要があるようです。</t>
  </si>
  <si>
    <t>DAYS360</t>
  </si>
  <si>
    <t>DAYS360(開始日,終了日,方式)</t>
  </si>
  <si>
    <r>
      <t xml:space="preserve">●開始日・終了日   
</t>
    </r>
    <r>
      <rPr>
        <sz val="11"/>
        <rFont val="ＭＳ Ｐゴシック"/>
        <family val="3"/>
      </rPr>
      <t>間の日数を求める 2 つの日付を指定します。開始日に終了日以後の日付を指定すると、負の値が返されます。日付は、DATE 関数を使って入力するか、ほかの数式またはほかの関数の結果を指定します。たとえば、2008 年 5 月 23 日入力する場合は、DATE(2008,5,23) を使用します。</t>
    </r>
  </si>
  <si>
    <r>
      <t>●方式</t>
    </r>
    <r>
      <rPr>
        <sz val="11"/>
        <rFont val="ＭＳ Ｐゴシック"/>
        <family val="3"/>
      </rPr>
      <t xml:space="preserve">    
計算に米国 NASD 方式とヨーロッパ方式のどちらを採用するかを、論理値で指定します。</t>
    </r>
  </si>
  <si>
    <t>FALSE または省略</t>
  </si>
  <si>
    <t>NASD 方式。開始日が、ある月の 31 日になる場合、同じ月の 30 日として計算が行われます。終了日が、ある月の 31 日になる場合は、開始日が 30 日でない限り、その翌月の 1 日として計算が行われます。
2 月の 28 日と 29 日は、いずれも 2 月 30 日と見なされます。</t>
  </si>
  <si>
    <t>ヨーロッパ方式。開始日または終了日が、ある月の 31 日になる場合、同じ月の 30 日として計算が行われます。</t>
  </si>
  <si>
    <t>=DAYS360("2005/2/1","2005/4/30")</t>
  </si>
  <si>
    <t>1 年を 360 日 (30 日×12) として、支払いの計算などによく使用される 2 つの日付の間の日数を返します。経理システムで 1 年を 30 日×12 と仮定している場合、この関数は、支払いの計算などに役立ちます。</t>
  </si>
  <si>
    <t>1 年を 360 日 (30 日×12) として、支払いの計算などによく使用される 2 つの日付の間の日数を返します。</t>
  </si>
  <si>
    <t>=DAYS360("2005/3/1","2005/5/31",TRUE)</t>
  </si>
  <si>
    <t>=DAYS360("2005/2/1","2005/4/31",TRUE)</t>
  </si>
  <si>
    <t>NASD方式</t>
  </si>
  <si>
    <t>ヨーロッパ方式</t>
  </si>
  <si>
    <t>=DAYS360("2005/1/1","2005/12/31",TRUE)</t>
  </si>
  <si>
    <t>=DAYS360("2005/1/1","2005/12/31")</t>
  </si>
  <si>
    <t>=DAYS360("2005/3/1","2005/5/31")</t>
  </si>
  <si>
    <t>来年の 1 月 1 日から今日の値を引きます。</t>
  </si>
  <si>
    <t>2 つの日付 (開始日と終了日) の間の期間が、1 年間に対して占める割合を返します。このワークシート関数を使用すると、特定の期間に割り当てられる年利や年債の割合を求めることができます。
この関数が使用できず、エラー値 #NAME? が返される場合は、分析ツール アドインを組み込む必要があります。</t>
  </si>
  <si>
    <t>2 つの日付 (開始日と終了日) の間の期間が、1 年間に対して占める割合を返します。</t>
  </si>
  <si>
    <t>YEARFRAC(開始日,終了日,基準)</t>
  </si>
  <si>
    <r>
      <t xml:space="preserve">●基準    </t>
    </r>
    <r>
      <rPr>
        <sz val="11"/>
        <rFont val="ＭＳ Ｐゴシック"/>
        <family val="3"/>
      </rPr>
      <t>計算に使う基準日数を示す数値を指定します。</t>
    </r>
  </si>
  <si>
    <t>基準日数 (月/年)</t>
  </si>
  <si>
    <t>基準</t>
  </si>
  <si>
    <t>0または省略</t>
  </si>
  <si>
    <t>30 日/360 日 (NASD 方式)</t>
  </si>
  <si>
    <t>実際の日数/実際の日数</t>
  </si>
  <si>
    <t>実際の日数/360 日</t>
  </si>
  <si>
    <t>実際の日数/365 日</t>
  </si>
  <si>
    <t>30 日/360 日 (ヨーロッパ方式)</t>
  </si>
  <si>
    <t>=YEARFRAC("2005/2/1","2005/4/30")</t>
  </si>
  <si>
    <t>=YEARFRAC("2005/2/1","2005/4/30",1)</t>
  </si>
  <si>
    <t>=YEARFRAC("2005/2/1","2005/4/30",2)</t>
  </si>
  <si>
    <t>=YEARFRAC("2005/2/1","2005/4/30",3)</t>
  </si>
  <si>
    <t>=YEARFRAC("2005/2/1","2005/4/30",4)</t>
  </si>
  <si>
    <t>=YEARFRAC("2005/2/1","2005/4/30",5)</t>
  </si>
  <si>
    <t>引数（基準）が範囲外</t>
  </si>
  <si>
    <t>引数（基準）が「0」</t>
  </si>
  <si>
    <t>引数（基準）が「1」</t>
  </si>
  <si>
    <t>引数（基準）が「2」</t>
  </si>
  <si>
    <t>引数（基準）が「3」</t>
  </si>
  <si>
    <t>引数（基準）が「4」</t>
  </si>
  <si>
    <t>=YEARFRAC("2005/1/1","2005/12/31")</t>
  </si>
  <si>
    <t>=YEARFRAC("2005/1/1","2005/12/31",1)</t>
  </si>
  <si>
    <t>=YEARFRAC("2005/1/1","2005/12/31",2)</t>
  </si>
  <si>
    <t>=YEARFRAC("2005/1/1","2005/12/31",3)</t>
  </si>
  <si>
    <t>=YEARFRAC("2005/1/1","2005/12/31",4)</t>
  </si>
  <si>
    <t>●セルを参照する場合</t>
  </si>
  <si>
    <t xml:space="preserve">開始日、終了日に無効な日付を指定すると、エラー値 #VALUE! が返されます。 </t>
  </si>
  <si>
    <r>
      <t>●終了日</t>
    </r>
    <r>
      <rPr>
        <sz val="11"/>
        <rFont val="ＭＳ Ｐゴシック"/>
        <family val="3"/>
      </rPr>
      <t xml:space="preserve">   対象期間の最終日を表す日付を指定します。</t>
    </r>
  </si>
  <si>
    <r>
      <t xml:space="preserve">●開始日   </t>
    </r>
    <r>
      <rPr>
        <sz val="11"/>
        <rFont val="ＭＳ Ｐゴシック"/>
        <family val="3"/>
      </rPr>
      <t>起算日を表す日付を指定します。</t>
    </r>
  </si>
  <si>
    <t>=YEARFRAC("2005/2/1","2005/-4/30")</t>
  </si>
  <si>
    <t>無効な日付を指定</t>
  </si>
  <si>
    <t>検索する日付を指定します。日付は、DATE 関数を使って入力するか、ほかの数式またはほかの関数の結果を指定します。半角の二重引用符 (") で囲んだ文字列 ("2005/2/14" など) を指定します。</t>
  </si>
  <si>
    <t>週の始まりを日曜日とします。曜日には順に 1 〜 7 の番号が対応します。</t>
  </si>
  <si>
    <t>週の始まりを月曜日とします。曜日には順に 1 〜 7 の番号が対応します。</t>
  </si>
  <si>
    <t>週の基準：週の始まりを何曜日とするかを数値で指定します。既定値は 1 です。</t>
  </si>
  <si>
    <t>=WEEKNUM("2005/2/14")</t>
  </si>
  <si>
    <t>=WEEKNUM("2005/2/14",2)</t>
  </si>
  <si>
    <t>=WEEKDAY("2005/2/13")</t>
  </si>
  <si>
    <t>=WEEKNUM("2005/2/14")-1</t>
  </si>
  <si>
    <t>前の週</t>
  </si>
  <si>
    <t>2週間後</t>
  </si>
  <si>
    <t>=WEEKNUM("2005/2/14")+2</t>
  </si>
  <si>
    <t>="2005年2月14日は今年" &amp; (WEEKNUM("2005/2/14") &amp; "週目です。"</t>
  </si>
  <si>
    <t>="残すところ今年は"&amp;(53-(WEEKDAY(TODAY()))&amp;"週です。"）</t>
  </si>
  <si>
    <t>="残すところ今年は"&amp; (WEEKNUM("2005/12/31")-(WEEKNUM(TODAY())) &amp;"週です。")</t>
  </si>
  <si>
    <t>=WEEKDAY("2005/2/13",2)</t>
  </si>
  <si>
    <t>2005/2/13は日曜日</t>
  </si>
  <si>
    <t>2005/2/14は月曜日</t>
  </si>
  <si>
    <t>●DATE関数との組み合わせ</t>
  </si>
  <si>
    <t>=WEEKNUM(DATE(2005,2,14))</t>
  </si>
  <si>
    <t>=WEEKNUM(DATE(2005,12,31),2)</t>
  </si>
  <si>
    <t>YEAR</t>
  </si>
  <si>
    <t>MONTH</t>
  </si>
  <si>
    <t>DAY</t>
  </si>
  <si>
    <t>HOUR</t>
  </si>
  <si>
    <t>MINUTE</t>
  </si>
  <si>
    <t>SECOND</t>
  </si>
  <si>
    <t>WEEKDAY</t>
  </si>
  <si>
    <t>WEEKNUM</t>
  </si>
  <si>
    <t>DATEVALUE</t>
  </si>
  <si>
    <t>TIMEVALUE</t>
  </si>
  <si>
    <t>EDATE</t>
  </si>
  <si>
    <t>EOMONTH</t>
  </si>
  <si>
    <t>WORKDAY</t>
  </si>
  <si>
    <t>NETWORKDAYS</t>
  </si>
  <si>
    <t>●22世紀まであと何日かを計算する</t>
  </si>
  <si>
    <t>YEARFRAC</t>
  </si>
  <si>
    <t>現在の日時</t>
  </si>
  <si>
    <t>シリアル値からの指定日時</t>
  </si>
  <si>
    <t>週の番号</t>
  </si>
  <si>
    <t>指定日時からのシリアル値</t>
  </si>
  <si>
    <t>計算日付のシリアル値</t>
  </si>
  <si>
    <t>期間差</t>
  </si>
  <si>
    <t>シリアル値から文字列</t>
  </si>
  <si>
    <t>DATESTRING関数</t>
  </si>
  <si>
    <t>DATEDIF関数</t>
  </si>
  <si>
    <t>書式</t>
  </si>
  <si>
    <t>DATEDIF(開始日,終了日,単位)</t>
  </si>
  <si>
    <t>単位</t>
  </si>
  <si>
    <t>戻り値</t>
  </si>
  <si>
    <t>"Y"</t>
  </si>
  <si>
    <t>期間内の満年数</t>
  </si>
  <si>
    <t>"M"</t>
  </si>
  <si>
    <t>期間内の満月数</t>
  </si>
  <si>
    <t>"D"</t>
  </si>
  <si>
    <t>期間内の日数</t>
  </si>
  <si>
    <t>"MD"</t>
  </si>
  <si>
    <t>"YM"</t>
  </si>
  <si>
    <t>開始日から終了日までの月数。この場合、日と年は考慮されません。</t>
  </si>
  <si>
    <t>"YD"</t>
  </si>
  <si>
    <t>開始日から終了日までの日数。この場合、年は考慮されません。</t>
  </si>
  <si>
    <t>開始日</t>
  </si>
  <si>
    <t>期間の開始日を指定します。日付はクォーテーション マークを前後に付けた文字列 (たとえば "2001/1/30" など)、シリアル値 (たとえば 1900 年日付システムを採用している場合に 2001 年 1 月 30 日を表す 36921 など)、または他の関数の結果 (たとえば DATEVALUE("2001/1/30")など) の形式で入力します。</t>
  </si>
  <si>
    <t>終了日</t>
  </si>
  <si>
    <t>期間の終了日を指定します。</t>
  </si>
  <si>
    <t>DATE関数</t>
  </si>
  <si>
    <t>開始日から終了日までの日数。この場合、月と年は考慮されません。</t>
  </si>
  <si>
    <t>機能</t>
  </si>
  <si>
    <t>関数が入力される前に、セルの表示形式が [標準] であった場合、計算結果は日付形式で表示されます。</t>
  </si>
  <si>
    <t>DATE(年,月,日）</t>
  </si>
  <si>
    <t>引数</t>
  </si>
  <si>
    <t>年の値が０～1899の場合</t>
  </si>
  <si>
    <r>
      <t>●年</t>
    </r>
    <r>
      <rPr>
        <sz val="11"/>
        <rFont val="ＭＳ Ｐゴシック"/>
        <family val="3"/>
      </rPr>
      <t>　1 ～ 4 桁で年を指定します。引数の解釈は、使用する日付システムによって異なります。</t>
    </r>
  </si>
  <si>
    <t>○年の値が 1900 ～ 9999 の範囲の場合、その値が実際の年になります。</t>
  </si>
  <si>
    <t>○年の値が負の値または 10000 以上の場合、エラー値 #NUM! が返されます。</t>
  </si>
  <si>
    <t>数式</t>
  </si>
  <si>
    <t>表示結果</t>
  </si>
  <si>
    <t>月の値が0～12の範囲でない場合</t>
  </si>
  <si>
    <r>
      <t>●月</t>
    </r>
    <r>
      <rPr>
        <sz val="11"/>
        <rFont val="ＭＳ Ｐゴシック"/>
        <family val="3"/>
      </rPr>
      <t>　月を表す数値を、1 ～ 12 の範囲で指定します。月に 12 より大きい数値を指定すると、年の 1 月から月か月後の月を指定したと見なされます。</t>
    </r>
  </si>
  <si>
    <r>
      <t>●日</t>
    </r>
    <r>
      <rPr>
        <sz val="11"/>
        <rFont val="ＭＳ Ｐゴシック"/>
        <family val="3"/>
      </rPr>
      <t>　日を表す数値を、1～ "月の最終日を表す数値" の範囲で指定します。指定した月の最終日より大きい数値を日に指定すると、月の 1 日から日日後の日を指定したと見なされます。</t>
    </r>
  </si>
  <si>
    <t>閏年も判断</t>
  </si>
  <si>
    <t>月末最終日</t>
  </si>
  <si>
    <t>翌月に繰り越される</t>
  </si>
  <si>
    <t>翌年に繰り越される</t>
  </si>
  <si>
    <t>日の値による表示</t>
  </si>
  <si>
    <t>年が負数の場合</t>
  </si>
  <si>
    <t>年が10000以上の場合</t>
  </si>
  <si>
    <t>日が負数も可能。</t>
  </si>
  <si>
    <t>前年に遡る（月が負数可）</t>
  </si>
  <si>
    <t>年</t>
  </si>
  <si>
    <t>月</t>
  </si>
  <si>
    <t>日</t>
  </si>
  <si>
    <t>=DATE(B43,C43,D43)</t>
  </si>
  <si>
    <t>=DATE(2005,3,-1)</t>
  </si>
  <si>
    <t>=DATE(2008,3,0)</t>
  </si>
  <si>
    <t>=DATE(2005,3,0)</t>
  </si>
  <si>
    <t>=DATE(2005,3,35)</t>
  </si>
  <si>
    <t>=DATE(2005,-3,10)</t>
  </si>
  <si>
    <t>=DATE(2005,14,2)</t>
  </si>
  <si>
    <t>=DATE(1865,11,25)</t>
  </si>
  <si>
    <t>=DATE(65,11,25)</t>
  </si>
  <si>
    <t>=DATE(-1492,9,10)</t>
  </si>
  <si>
    <t>=DATE(10000,1,1)</t>
  </si>
  <si>
    <t>セルを指定する場合には、「年」、「月」、「日」をそれぞれ分けて入力する。</t>
  </si>
  <si>
    <t>目的の日まであと何日かを計算する</t>
  </si>
  <si>
    <t>本日の日付</t>
  </si>
  <si>
    <t>22世紀まであと</t>
  </si>
  <si>
    <t>指定された期間内の日数、月数、または年数を返します。この関数は、Lotus 1-2-3 関数との互換性を保つために用意されています。
[挿入]-[関数の貼り付け]から記述することはできません。直接セルに関数を記述します。</t>
  </si>
  <si>
    <t>=DATEDIF("2001/1/1","2003/1/1","Y")</t>
  </si>
  <si>
    <t>これは期間内が満 2 年であることを示しています。</t>
  </si>
  <si>
    <t>これは 2001 年 1 月 1 日から 2002 年 8 月 15 日までの間が 440 日であることを示しています。</t>
  </si>
  <si>
    <t>=DATEDIF("2001/6/1","2002/8/15","YD")</t>
  </si>
  <si>
    <t>これは 6 月 1 日から 8 月 15 日までの間が 75 日であることを示しています。この場合、年は考慮されません。</t>
  </si>
  <si>
    <t>=DATEDIF("2001/6/1","2002/8/15","D")</t>
  </si>
  <si>
    <t>これは 1 日から 15 日まで (開始日から終了日まで) の日数を示しています。この場合、月と年は考慮されません。</t>
  </si>
  <si>
    <t>=DATEDIF("2001/6/1","2002/8/15","MD")</t>
  </si>
  <si>
    <t>=DATEDIF(B35,C35,"Y")&amp;"年"&amp; DATEDIF(B35,C35,"YM") &amp; "ヶ月" &amp; DATEDIF(B35,C35,"MD") &amp; "日"</t>
  </si>
  <si>
    <t>経過年月日</t>
  </si>
  <si>
    <t>●就学前児童の満年齢計算</t>
  </si>
  <si>
    <t>今日の日付</t>
  </si>
  <si>
    <t>名前</t>
  </si>
  <si>
    <t>誕生日</t>
  </si>
  <si>
    <t>満年齢</t>
  </si>
  <si>
    <t>年齢計算</t>
  </si>
  <si>
    <t>荒木大輔</t>
  </si>
  <si>
    <t>吉本京子</t>
  </si>
  <si>
    <t>坂井良彦</t>
  </si>
  <si>
    <t>高橋洋子</t>
  </si>
  <si>
    <t>久保良之助</t>
  </si>
  <si>
    <t>池宮昭一</t>
  </si>
  <si>
    <t>年齢計算ニ関スル法律（明治35年12月2日　法律50号）</t>
  </si>
  <si>
    <t>①年齢ハ出生ノ日ヨリ之ヲ起算ス</t>
  </si>
  <si>
    <t>②民法第143条ノ規定ハ年齢ノ計算ニ之ヲ準用ス</t>
  </si>
  <si>
    <t>③明治6年第36号布告ハ之ヲ廃止ス</t>
  </si>
  <si>
    <t>民法143条（暦による計算）</t>
  </si>
  <si>
    <t>①期間ヲ定ムルニ週、月又ハ年ヲ以テシタルトキハ暦ニ従イテ之ヲ算ス</t>
  </si>
  <si>
    <r>
      <t>②</t>
    </r>
    <r>
      <rPr>
        <sz val="11"/>
        <color indexed="10"/>
        <rFont val="ＭＳ Ｐゴシック"/>
        <family val="3"/>
      </rPr>
      <t>週、月又ハ年ノ始ヨり期間ヲ起算セサルトキハ其期間ハ最後ノ週、月又ハ年ニ於テ其起算日ニ応当スル日ノ前日ヲ以テ満了ス</t>
    </r>
    <r>
      <rPr>
        <sz val="11"/>
        <rFont val="ＭＳ Ｐゴシック"/>
        <family val="3"/>
      </rPr>
      <t>但月又ハ年ヲ以テ期間ヲ定メタる場合ニ於テ最後ノ月ニ応当日ナキトキハ其月ノ末日ヲ以テ満期日トス</t>
    </r>
  </si>
  <si>
    <t>入学の可否</t>
  </si>
  <si>
    <t>小学校</t>
  </si>
  <si>
    <t>幼稚園</t>
  </si>
  <si>
    <t>年齢計算では、誕生日に年齢が加算されます。しかし、法律では誕生日の前日に年齢が加算されます。</t>
  </si>
  <si>
    <t>●普段の年齢計算</t>
  </si>
  <si>
    <t>誕生日</t>
  </si>
  <si>
    <t>年齢</t>
  </si>
  <si>
    <t>年月日</t>
  </si>
  <si>
    <t>計算式</t>
  </si>
  <si>
    <t>=TEXT(TODAY(),"yy")&amp;TEXT((TODAY() -DATEVALUE(TEXT(TODAY(),"yy") &amp; "/1/1"))+1,"000")</t>
  </si>
  <si>
    <t>現在の日付を 2 桁の年のユリウス日(文字列）で表示します (可変)</t>
  </si>
  <si>
    <t>現在の日付を 4 桁の年のユリウス日(文字列）で表示します (可変)</t>
  </si>
  <si>
    <t>=TEXT(TODAY(),"yyyy")&amp;TEXT((TODAY() -DATEVALUE(TEXT(TODAY(),"yy") &amp; "/1/1"))+1,"000")</t>
  </si>
  <si>
    <t>=TEXT(B27,"yy")&amp;TEXT((B27-DATEVALUE(TEXT(B27,"yy") &amp; "/1/1"))+1,"000")</t>
  </si>
  <si>
    <t>=TEXT(B27,"yyyy")&amp;TEXT((B27-DATEVALUE(TEXT(B27,"yy") &amp; "/1/1"))+1,"000")</t>
  </si>
  <si>
    <t>●ユリウス日として現在の日付を入力する</t>
  </si>
  <si>
    <t>●日付をユリウス日に変換する</t>
  </si>
  <si>
    <t>●時間の計算の基本</t>
  </si>
  <si>
    <t>開始時間</t>
  </si>
  <si>
    <t>終了時間</t>
  </si>
  <si>
    <t>時間差</t>
  </si>
  <si>
    <t>終了時間から開始時間を引けばその差（時間）が求められます。</t>
  </si>
  <si>
    <t>しかし開始時間から終了時間を引くとその差がマイナスになるためエラー「#####」が表示されます。</t>
  </si>
  <si>
    <t>◇同じ日時の場合</t>
  </si>
  <si>
    <t>◇日時が違う場合</t>
  </si>
  <si>
    <t>終了時間が翌日の午前1時45分の場合には、「25:45」と入力します。</t>
  </si>
  <si>
    <t>翌日以降の時間を24時、25時とみなせば、計算はできます。ただし、時刻の表示では24時以降は0に戻るために、表示が分かりにくいかもしれません。</t>
  </si>
  <si>
    <t>開始日時</t>
  </si>
  <si>
    <t>終了日時</t>
  </si>
  <si>
    <t>●日付と時刻を使った時間の計算をするには</t>
  </si>
  <si>
    <t>表示形式をh"時間"mm"分"とすれば</t>
  </si>
  <si>
    <t>●開始時間から2時間35分後の時間を求めるには</t>
  </si>
  <si>
    <t>経過時間</t>
  </si>
  <si>
    <t>●開始時間から7時間前の時間を求めるには</t>
  </si>
  <si>
    <t>さかのぼる時間</t>
  </si>
  <si>
    <t>しかし、さかのぼる時間が開始時間の日時よりも前の場合には「####」エラーとなります。</t>
  </si>
  <si>
    <t>値がマイナスになる場合には、数式の参照セルを逆にします。</t>
  </si>
  <si>
    <t>=B40-C40</t>
  </si>
  <si>
    <t>●EOMONTH関数とEDATE関数の違い</t>
  </si>
  <si>
    <t>●数式で時間を指定した計算</t>
  </si>
  <si>
    <t>数式に開始時間と終了時間、あるいは経過時間を直接指定するにはどうするか</t>
  </si>
  <si>
    <t>=19:30-8:30</t>
  </si>
  <si>
    <t>時刻をそのままでは数値として使用できません。</t>
  </si>
  <si>
    <t>表示形式は「標準」か「数値」</t>
  </si>
  <si>
    <t>=HOUR("19:30")-HOUR("8:30") &amp; ":"&amp; MINUTE("19:30")-MINUTE("8:30")</t>
  </si>
  <si>
    <t>TEXT関数を使用すると数式が簡略できます。</t>
  </si>
  <si>
    <t>=TEXT("19:30"-"8:30","h:mm")</t>
  </si>
  <si>
    <t>時間を時と分に分けて計算させます</t>
  </si>
  <si>
    <t>●ある期間の収入を予測する</t>
  </si>
  <si>
    <t>年間賃料</t>
  </si>
  <si>
    <t>予想収入</t>
  </si>
  <si>
    <t>=B46*YEARFRAC(C46,D46,3)</t>
  </si>
  <si>
    <t>●勤務時間や作業時間を計算をするには</t>
  </si>
  <si>
    <t>累積作業時間</t>
  </si>
  <si>
    <t>「[h]:mm」を使用すると24時間以上の時間を表示できます。</t>
  </si>
  <si>
    <t>表示形式</t>
  </si>
  <si>
    <t>書式設定の表示形式を「[h]:mm」を使って、「[h]"時間"mm"分"」に変更します。</t>
  </si>
  <si>
    <t>h"時間"mm"分"</t>
  </si>
  <si>
    <t>[h]"時間"mm"分"</t>
  </si>
  <si>
    <t>●昼休みの時間や休憩の時間を除く実勤務時間を算出するには</t>
  </si>
  <si>
    <t>出社時間</t>
  </si>
  <si>
    <t>退社時間</t>
  </si>
  <si>
    <t>勤務時間</t>
  </si>
  <si>
    <t>休憩時間：60分</t>
  </si>
  <si>
    <t>=C8-B8</t>
  </si>
  <si>
    <t>=B8-C8</t>
  </si>
  <si>
    <t>=C16-B16</t>
  </si>
  <si>
    <t>=C23-B23</t>
  </si>
  <si>
    <t>=C28-B28</t>
  </si>
  <si>
    <t>=B32+C32</t>
  </si>
  <si>
    <t>=B36-C36</t>
  </si>
  <si>
    <t>=C40-B40</t>
  </si>
  <si>
    <t>出発時間</t>
  </si>
  <si>
    <t>残り時間</t>
  </si>
  <si>
    <t>現在（NOW関数使用）</t>
  </si>
  <si>
    <t>=B57-TEXT(C57,"h:mm")</t>
  </si>
  <si>
    <t>●出発時間まで今からどのくらい時間があるかを出すには（日付が異なる場合）</t>
  </si>
  <si>
    <t>●出発時間まで今からどのくらい時間があるかを出すには（同じ日付の場合）</t>
  </si>
  <si>
    <t>=SUM(B68:B69)</t>
  </si>
  <si>
    <t>=SUM(B68:B70)</t>
  </si>
  <si>
    <t>=SUM(B68:B71)</t>
  </si>
  <si>
    <t>=SUM(B68:B72)</t>
  </si>
  <si>
    <t>セルC72の値が25時間40分と表示されません。</t>
  </si>
  <si>
    <t>=TEXT(B62-C62,"[h]:mm")</t>
  </si>
  <si>
    <t>NOW関数は時間だけでなく、日付もシリアル値として管理しています。</t>
  </si>
  <si>
    <t>日数や時間を計算するためのシリアル値では、整数の「 1 」が「 24 時間」を表現し ています。</t>
  </si>
  <si>
    <t>(1/24)=1 時間</t>
  </si>
  <si>
    <t>(1/1440)=1 分</t>
  </si>
  <si>
    <t>勤務時間＝退社時間-出社時間-（1/24)</t>
  </si>
  <si>
    <t>休憩時間が80分の場合には</t>
  </si>
  <si>
    <t>勤務時間＝退社時間-出社時間-（1/24)-（20/1440）</t>
  </si>
  <si>
    <t>勤務時間＝退社時間-出社時間-（1/24)-（1/72）</t>
  </si>
  <si>
    <t>勤務時間＝退社時間-出社時間-（80/1440)</t>
  </si>
  <si>
    <t>勤務時間＝退社時間-出社時間-（1/18)</t>
  </si>
  <si>
    <t>①</t>
  </si>
  <si>
    <t>②</t>
  </si>
  <si>
    <t>③</t>
  </si>
  <si>
    <t>④</t>
  </si>
  <si>
    <t>①は誕生日前の年齢を表示しています。</t>
  </si>
  <si>
    <t>②は法律の満年齢を表示しています。</t>
  </si>
  <si>
    <t>③は誕生日当日の年齢を表示しています。</t>
  </si>
  <si>
    <t>④は誕生日の翌日（+1）の年齢を表示しています。</t>
  </si>
  <si>
    <t>指定された期間内の日数、月数、または年数を返します。</t>
  </si>
  <si>
    <t>指定された日付に対応するシリアル値を返します。</t>
  </si>
  <si>
    <t>●在籍日数の計算</t>
  </si>
  <si>
    <t>入社日から退職日までの在籍日数を計算します。</t>
  </si>
  <si>
    <t>入社日</t>
  </si>
  <si>
    <t>退職日（今日）</t>
  </si>
  <si>
    <t>在籍日数</t>
  </si>
  <si>
    <t>前日までの計算</t>
  </si>
  <si>
    <t>当日までの計算</t>
  </si>
  <si>
    <t>「=DATEDIF(B99,C99,"D")+1 &amp; "日"」計算式に当日分の「1日」を加算するのがコツです。</t>
  </si>
  <si>
    <t>DATESTRING(シリアル値）</t>
  </si>
  <si>
    <t>シリアル値</t>
  </si>
  <si>
    <t>日付のシリアル値。ダブルクォーテーションで囲まれた日付を表す文字列を指定。</t>
  </si>
  <si>
    <t>数値を漢数字変換するにはNUMBERSTRING関数を使います。</t>
  </si>
  <si>
    <t>日付</t>
  </si>
  <si>
    <t>=DATESTRING(B16)</t>
  </si>
  <si>
    <t>シリアル値から和暦日付の文字列を表示します。</t>
  </si>
  <si>
    <t>シリアル値から和暦日付の文字列を表示します。</t>
  </si>
  <si>
    <t>=NOW()</t>
  </si>
  <si>
    <t>=DATESTRING(NOW())</t>
  </si>
  <si>
    <t>●文章での使用例</t>
  </si>
  <si>
    <t>●基本的な使い方</t>
  </si>
  <si>
    <t>=DATESTRING(C22)&amp;"上記日時に納品いたしました。"</t>
  </si>
  <si>
    <t>=DATESTRING("2005/1/5")</t>
  </si>
  <si>
    <t>http://support.microsoft.com/default.aspx?scid=kb;ja;JP418360</t>
  </si>
  <si>
    <t>参照「ヘルプおよび関数ウィザードに表示されない関数について」（JP418360）</t>
  </si>
  <si>
    <t>概要</t>
  </si>
  <si>
    <t>この資料は、ヘルプおよび関数ウィザードに表示されない関数について説明しています。</t>
  </si>
  <si>
    <t>詳細</t>
  </si>
  <si>
    <t>以下の関数は、他の表計算アプリケーションとの互換を保つために用意された関数の ため、ヘルプおよび関数ウィザードには表示されません。</t>
  </si>
  <si>
    <t xml:space="preserve">  DATEDIF 関数</t>
  </si>
  <si>
    <t xml:space="preserve">  DATESTRING 関数</t>
  </si>
  <si>
    <t xml:space="preserve">  NUMBERSTRING 関数</t>
  </si>
  <si>
    <t>状況</t>
  </si>
  <si>
    <t>この現象は Excel 2002 の仕様による動作になります。</t>
  </si>
  <si>
    <t>Microsoft Excel の各バージョン (他国語版含む) で、ヘルプや関数ウィザードの表示 が異なりましたが Excel 2002 で統一されました。</t>
  </si>
  <si>
    <t>•2 つの日付間の日数を計算する</t>
  </si>
  <si>
    <t>•2 つの日付間の月数を計算する</t>
  </si>
  <si>
    <t>•2 つの日付間の年数を計算する</t>
  </si>
  <si>
    <t>•これらの関数は Microsoft Excel 5.0 で追加されました。 (DATESTRING 関数、NUMBERSTRING 関数は日本語版 Excel でのみの追加となります。)</t>
  </si>
  <si>
    <t>•「2 つの日付間の差分を計算する」ヘルプに以下の計算方法が記載されています。</t>
  </si>
  <si>
    <t>[挿入]-[関数の貼り付け]から記述することはできません。直接セルに関数を記述します。</t>
  </si>
  <si>
    <t>TODAY関数</t>
  </si>
  <si>
    <t>NOW関数</t>
  </si>
  <si>
    <t>関数名</t>
  </si>
  <si>
    <t>日付・時刻関数Index</t>
  </si>
  <si>
    <t>現在の日付に対応するシリアル値を返します。</t>
  </si>
  <si>
    <t>シリアル値</t>
  </si>
  <si>
    <t>Excel で日付や時刻の計算に使用されるコードのこと。</t>
  </si>
  <si>
    <t>TODAY()</t>
  </si>
  <si>
    <t>現在の日付に対応するシリアル値を返します。</t>
  </si>
  <si>
    <t>ありません。</t>
  </si>
  <si>
    <t>関数が入力される前に、セルの表示形式が [標準] であった場合、計算結果は日付形式で表示されます。</t>
  </si>
  <si>
    <t>数式</t>
  </si>
  <si>
    <t>=TODAY()</t>
  </si>
  <si>
    <t>セル書式が「日付」</t>
  </si>
  <si>
    <t>セル書式が「標準」または「数値」</t>
  </si>
  <si>
    <t>=TODAY()+1</t>
  </si>
  <si>
    <t>●基本の数式</t>
  </si>
  <si>
    <t>補足説明</t>
  </si>
  <si>
    <t>=TODAY()+30</t>
  </si>
  <si>
    <t>=TODAY()-30</t>
  </si>
  <si>
    <t>30日前</t>
  </si>
  <si>
    <t>30日後</t>
  </si>
  <si>
    <t>翌日</t>
  </si>
  <si>
    <t>="今日は" &amp; TODAY() &amp; "です。"</t>
  </si>
  <si>
    <t>="今日は"&amp;TEXT(TODAY(),"yyyy 年mm月dd日"&amp;"です。")</t>
  </si>
  <si>
    <t>●応用1</t>
  </si>
  <si>
    <t>●応用2</t>
  </si>
  <si>
    <t>引数を入力すると、エラーメッセージが表示され、入力ができません。</t>
  </si>
  <si>
    <t>「TODAY関数」をセンテンスで使用する場合、文字列とみなされるためにシリアル値を表示します。
センテンスで使用するには、次のようにTEXT関数を使用して行います。</t>
  </si>
  <si>
    <t>現在の日付と時刻に対応するシリアル値を返します。</t>
  </si>
  <si>
    <t>NOW()</t>
  </si>
  <si>
    <t>引数を入力すると、エラーメッセージが表示され、入力ができません。</t>
  </si>
  <si>
    <t>=NOW()</t>
  </si>
  <si>
    <t>セル書式は「標準」</t>
  </si>
  <si>
    <t>●関数が設定されているセルを参照する</t>
  </si>
  <si>
    <t>ユリウス日とユリウス暦</t>
  </si>
  <si>
    <t>ユリウス日は、現在の年と 1 月 1 日からの通算日数とを組み合わせて日付を表示するときに使用される場合があります。たとえば、2007 年 1 月 1 日は 2007001 と表され、2007 年 12 月 31 日は 2003356 と表されます。この形式はユリウス暦に基づいているわけではないことに注意してください。</t>
  </si>
  <si>
    <t>これとは別に、天文学上で一般的に使用されるユリウス暦の日付もあります。これは、紀元前 4713 年 1 月 1 日を起算点とした通日で表す日付システムです。</t>
  </si>
  <si>
    <t>この処理を実行するには、TEXT 関数、TODAY 関数、および DATEVALUE 関数を使用します。</t>
  </si>
  <si>
    <t>この処理を実行するには、TEXT 関数および DATEVALUE 関数を使用します。</t>
  </si>
  <si>
    <t>日付</t>
  </si>
  <si>
    <t>セル A2 の日付を 2 桁の年のユリウス日で表示します (07174)</t>
  </si>
  <si>
    <t>セル A2 の日付を 4 桁の年のユリウス日で表示します (2007174)</t>
  </si>
  <si>
    <t>メモ  上の数式では、1 年は 1 月 1 日 (1/1) に始まります。別の日を起算日として使用するには、数式の "/1/1" の部分を目的の日付に変更します。</t>
  </si>
  <si>
    <t>=NOW()+1</t>
  </si>
  <si>
    <t>=NOW()+0.5</t>
  </si>
  <si>
    <t>=NOW()+(1/24)</t>
  </si>
  <si>
    <t>1日(24時間）後</t>
  </si>
  <si>
    <t>0.5日（12時間）後</t>
  </si>
  <si>
    <t>1時間後</t>
  </si>
  <si>
    <t>●応用1（セル書式はユーザー定義[yyyy/m/d h:mm]</t>
  </si>
  <si>
    <t>セル書式ユーザー定義[yyyy/m/d h:mm]</t>
  </si>
  <si>
    <t>=NOW()+(10/(24*60))</t>
  </si>
  <si>
    <t>10分後</t>
  </si>
  <si>
    <t>「NOW関数」をセンテンスで使用する場合、文字列とみなされるためにシリアル値を表示します。
センテンスで使用するには、次のようにTEXT関数を使用して行います。</t>
  </si>
  <si>
    <t>="今は" &amp; NOW() &amp; "です。"</t>
  </si>
  <si>
    <t>関数が入力される前に、セルの表示形式が [標準] であった場合、計算結果はユーザー定義[yyyy/m/d h:mm]で表示されます。秒まで表示するには[h:mm:ss]とします。</t>
  </si>
  <si>
    <t>今の日付・時刻</t>
  </si>
  <si>
    <t>="今は"&amp;TEXT(NOW(),"yyyy 年mm月dd日 h時mm分ss.00秒"&amp;"です。")</t>
  </si>
  <si>
    <t>●蛇足</t>
  </si>
  <si>
    <t>NOW関数を2つ足したらどうなるか？</t>
  </si>
  <si>
    <t>=NOW()+NOW()</t>
  </si>
  <si>
    <t>シリアル値の合算値</t>
  </si>
  <si>
    <t>yyyy/m/d h:mm:ssで表示</t>
  </si>
  <si>
    <t>YEAR関数</t>
  </si>
  <si>
    <t>TODAY</t>
  </si>
  <si>
    <t>NOW</t>
  </si>
  <si>
    <t>DATE</t>
  </si>
  <si>
    <t>DATEDIF</t>
  </si>
  <si>
    <t>DATESTRING</t>
  </si>
  <si>
    <t>日付に対応する年を返します。</t>
  </si>
  <si>
    <t>戻り値は、1900 (年) ～ 9999 (年) の範囲の整数となります。</t>
  </si>
  <si>
    <t>YEAR(シリアル値）</t>
  </si>
  <si>
    <t>=YEAR("2005/2/14")</t>
  </si>
  <si>
    <t>=YEAR("2005/2")</t>
  </si>
  <si>
    <t>=YEAR("2/14")</t>
  </si>
  <si>
    <t>=YEAR(38353)</t>
  </si>
  <si>
    <t>シリアル値i38353は2005/1/1</t>
  </si>
  <si>
    <t>=YEAR(38717)</t>
  </si>
  <si>
    <t>シリアル値i38717は2005/12/31</t>
  </si>
  <si>
    <t>=YEAR(38718)</t>
  </si>
  <si>
    <t>=YEAR(38352)</t>
  </si>
  <si>
    <t>シリアル値i38352は2004/12/31</t>
  </si>
  <si>
    <t>シリアル値i38718は2006/1/1</t>
  </si>
  <si>
    <t>特殊な数式。</t>
  </si>
  <si>
    <t>=YEAR(DATE(2005,5,5))</t>
  </si>
  <si>
    <t>=YEAR(DATE(2005,12,32))</t>
  </si>
  <si>
    <t>●DATE関数との組み合わせ（関数の結果を元にYEAR関数が動きます）</t>
  </si>
  <si>
    <t>=YEAR("2005/2/14")+1</t>
  </si>
  <si>
    <t>翌年</t>
  </si>
  <si>
    <t>最終日の翌日</t>
  </si>
  <si>
    <t>●加減算</t>
  </si>
  <si>
    <t>=YEAR("2005/2/14")-1</t>
  </si>
  <si>
    <t>前年</t>
  </si>
  <si>
    <t>="今年は" &amp; YEAR("2005/2/14") &amp; "年です。"</t>
  </si>
  <si>
    <t>●センテンスでの使用</t>
  </si>
  <si>
    <t>MONTH(シリアル値）</t>
  </si>
  <si>
    <t>月をシリアル値で返します。</t>
  </si>
  <si>
    <t>月をシリアル値で返します。</t>
  </si>
  <si>
    <t>MONTH関数</t>
  </si>
  <si>
    <t>戻り値は、戻り値は 1 (月) 〜 12 (月) の範囲の整数となります。</t>
  </si>
  <si>
    <t>=MONTH("2005/2/14")</t>
  </si>
  <si>
    <t>=MONTH("2005/2")</t>
  </si>
  <si>
    <t>=MONTH("2/14")</t>
  </si>
  <si>
    <t>=MONTH(38352)</t>
  </si>
  <si>
    <t>=MONTH(38353)</t>
  </si>
  <si>
    <t>=MONTH(38686)</t>
  </si>
  <si>
    <t>シリアル値i38717は2005/11/30</t>
  </si>
  <si>
    <t>=MONTH(38718)</t>
  </si>
  <si>
    <t>=MONTH(DATE(2005,5,5))</t>
  </si>
  <si>
    <t>=MONTH(DATE(2005,12,32))</t>
  </si>
  <si>
    <t>=MONTH("2005/2/14")-1</t>
  </si>
  <si>
    <t>=MONTH("2005/2/14")+1</t>
  </si>
  <si>
    <t>前月</t>
  </si>
  <si>
    <t>翌月</t>
  </si>
  <si>
    <t>最終月の翌月（翌年1月）</t>
  </si>
  <si>
    <t>="今月は" &amp; YEAR("2005/2/14") &amp; "月です。"</t>
  </si>
  <si>
    <t>2004年1月10日から2005年4月3日までの月数は何ヶ月か？</t>
  </si>
  <si>
    <t>×</t>
  </si>
  <si>
    <t>①の数式では、年をまたいだ月数や日にちを勘案した計算ができません。</t>
  </si>
  <si>
    <t>①=MONTH("2005/4/3")-MONTH("2004/1/10")</t>
  </si>
  <si>
    <t>△</t>
  </si>
  <si>
    <t>②=MONTH("2005/4/3")-MONTH("2005/1/10")</t>
  </si>
  <si>
    <t>②の数式は月数だけをみれば正しいですが、日にちまでを含めると「2」が正しいと思われます。</t>
  </si>
  <si>
    <t>③=(YEAR("2005/4/3")-YEAR("2004/1/10"))*12+MONTH("2005/4/3")-MONTH("2004/1/10")</t>
  </si>
  <si>
    <t>③の数式は②の数式同様に、日にちを勘案した計算になっていません。</t>
  </si>
  <si>
    <t>同じ年の場合を考えて見ます。</t>
  </si>
  <si>
    <t>再度異なる年の場合を考えて見ます。</t>
  </si>
  <si>
    <t>日付をシリアル値にして引き算をさせてみたらどうなるでしょうか？</t>
  </si>
  <si>
    <t>=(DATEVALUE("2005/4/3")-DATEVALUE("2004/1/10"))</t>
  </si>
  <si>
    <t>出てきた数字は、経過日数です。開始日より449日と456日経っていることになります。</t>
  </si>
  <si>
    <t>この経過日数を「365/12」で割り算します。</t>
  </si>
  <si>
    <t>=449/(365/12)</t>
  </si>
  <si>
    <t>=(DATEVALUE("2005/4/10")-DATEVALUE("2004/1/10"))</t>
  </si>
  <si>
    <t>また、開始日より終了日の日にちが同じもしくは過ぎている場合は、経過日数に1日加算します。</t>
  </si>
  <si>
    <t>=(456+1）/(365/12)</t>
  </si>
  <si>
    <t>≒14ヶ月</t>
  </si>
  <si>
    <t>≒15ヶ月</t>
  </si>
  <si>
    <t>DATEDIF関数を使うと簡単に計算できます。</t>
  </si>
  <si>
    <t>=DATEDIF("2004/1/10","2005/4/3","M")</t>
  </si>
  <si>
    <t>=DATEDIF("2004/1/10","2005/4/9","M")</t>
  </si>
  <si>
    <t>=DATEDIF("2004/1/10","2005/4/10","M")</t>
  </si>
  <si>
    <t>=DATEDIF("2004/1/10","2005/4/11","M")</t>
  </si>
  <si>
    <t>開始日と終了日を見て、数式を記述しないと正確な結果が得られないことになります。</t>
  </si>
  <si>
    <t>→ＤＡＴＥＤＩＦ関数</t>
  </si>
  <si>
    <t>検索する日付を指定します。日付には、半角のダブル クォーテーション (") で囲んだ文字列 ("1/30/1998" や "1998/01/30" など)、シリアル値 (1900 年から計算する場合は 1998 年 1 月 30 日を表す 35825)、または他の数式や関数の結果 (DATEVALUE("1/30/1998") など) を指定します。</t>
  </si>
  <si>
    <t>補足</t>
  </si>
  <si>
    <t>②と③はMicrosoft Excel 2003のヘルプを元に作成しました。</t>
  </si>
  <si>
    <t>DAY関数</t>
  </si>
  <si>
    <t>DAY(シリアル値）</t>
  </si>
  <si>
    <t>シリアル値で表される日を返します。日付に対応する日を返します。</t>
  </si>
  <si>
    <t>シリアル値で表される日を返します。</t>
  </si>
  <si>
    <t>戻り値は、1 ～ 31 の範囲の整数となります。</t>
  </si>
  <si>
    <t>検索する月の日付を指定します。
日付には、半角のダブル クォーテーション (") で囲んだ文字列 ("1/30/1998" や "1998/01/30" など)、シリアル値 (1900 年から計算する場合は 1998 年 1 月 30 日を表す 35825)、DATE 関数を使って入力するか、ほかの数式またはほかの関数の結果を指定します。</t>
  </si>
  <si>
    <t>検索する日付を指定します。
日付には、半角のダブル クォーテーション (") で囲んだ文字列 ("1/30/1998" や "1998/01/30" など)、シリアル値 (1900 年から計算する場合は 1998 年 1 月 30 日を表す 35825)、DATE 関数を使って入力するか、ほかの数式またはほかの関数の結果を指定します。</t>
  </si>
  <si>
    <t>=DAY("2005/2/14")</t>
  </si>
  <si>
    <t>=DAY("2005/2")</t>
  </si>
  <si>
    <t>=DAY("2/14")</t>
  </si>
  <si>
    <t>=DAY(38352)</t>
  </si>
  <si>
    <t>=DAY(38353)</t>
  </si>
  <si>
    <t>=DAY(38717)</t>
  </si>
  <si>
    <t>=DAY(38719)</t>
  </si>
  <si>
    <t>シリアル値i38718は2006/1/2</t>
  </si>
  <si>
    <t>=DAY(DATE(2005,5,5))</t>
  </si>
  <si>
    <t>=DAY(DATE(2005,12,32))</t>
  </si>
  <si>
    <t>=DAY("2005/2/14")-1</t>
  </si>
  <si>
    <t>前日(2005/2/13)</t>
  </si>
  <si>
    <t>翌日(2005/2/15)</t>
  </si>
  <si>
    <t>=DAY("2005/2/14")+1</t>
  </si>
  <si>
    <t>="今日は" &amp; DAY("2005/2/14") &amp; "日です。"</t>
  </si>
  <si>
    <t>="今日は" &amp; DAY(TODAY()) &amp; "日です。"</t>
  </si>
  <si>
    <t>HOUR関数</t>
  </si>
  <si>
    <t>時刻を返します。</t>
  </si>
  <si>
    <t>時刻を返します。</t>
  </si>
  <si>
    <t>HOUR(シリアル値）</t>
  </si>
  <si>
    <t>検索する時刻を指定します。時刻には、半角の二重引用符 (") で囲んだ文字列 ("6:45 PM" など)、小数 (6:45 PM を表す 0.78125)、または他の数式または関数の結果 (TIMEVALUE("6:45 PM") など) を指定します。</t>
  </si>
  <si>
    <t>=HOUR("10:15")</t>
  </si>
  <si>
    <t>=HOUR("17:15")</t>
  </si>
  <si>
    <t>=HOUR("2:30 AM")</t>
  </si>
  <si>
    <t>=HOUR("2:30 PM")</t>
  </si>
  <si>
    <t>PMを指定すると午後2時を表示します。</t>
  </si>
  <si>
    <t>AMを指定すると午前2時を表示します。</t>
  </si>
  <si>
    <t>="今日の" &amp; HOUR("4:30 PM") &amp; "時から会議です。"</t>
  </si>
  <si>
    <t>="今は" &amp; HOUR(NOW()) &amp; "時です。"</t>
  </si>
  <si>
    <t>年数 2 桁、月数 2 桁、日数 2 桁という 6 桁の数値 (例、 980503)を変換させます。</t>
  </si>
  <si>
    <t>=DATE(INT(980503/10000),MOD(INT(980503/100),100),MOD(980503,100))</t>
  </si>
  <si>
    <t>しかし同じ6桁の数値でも「050503」のような場合はどうでしょうか？</t>
  </si>
  <si>
    <t>=DATE(INT(50503/10000),MOD(INT(50503/100),100),MOD(503,100))</t>
  </si>
  <si>
    <t>実際に記述される数式は、先頭の「0」を取ったものになります。</t>
  </si>
  <si>
    <t>また、年の商が「5」となるため、2005年ではなく、1905年となってしまいます。</t>
  </si>
  <si>
    <t>1900を加算</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</si>
</sst>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yyyy/mm/dd"/>
    <numFmt numFmtId="181" formatCode="mmm\-yyyy"/>
    <numFmt numFmtId="182" formatCode="[$€-2]\ #,##0.00_);[Red]\([$€-2]\ #,##0.00\)"/>
    <numFmt numFmtId="183" formatCode="0_ "/>
    <numFmt numFmtId="184" formatCode="0.0000_ ;[Red]\-0.0000\ "/>
    <numFmt numFmtId="185" formatCode="[$-F400]h:mm:ss\ AM/PM"/>
    <numFmt numFmtId="186" formatCode="[$-409]h:mm:ss\ AM/PM;@"/>
    <numFmt numFmtId="187" formatCode="h&quot;時&quot;mm&quot;分&quot;ss&quot;秒&quot;;@"/>
    <numFmt numFmtId="188" formatCode="h&quot;時間&quot;mm&quot;分&quot;"/>
    <numFmt numFmtId="189" formatCode="#,##0.0000_);[Red]\(#,##0.0000\)"/>
    <numFmt numFmtId="190" formatCode="h:mm;@"/>
    <numFmt numFmtId="191" formatCode="yyyy&quot;年&quot;m&quot;月&quot;d&quot;日&quot;;@"/>
    <numFmt numFmtId="192" formatCode="[$-409]yyyy/m/d\ h:mm\ AM/PM;@"/>
    <numFmt numFmtId="193" formatCode="h:mm:ss;@"/>
    <numFmt numFmtId="194" formatCode="yyyy/m/d\ h:mm;@"/>
    <numFmt numFmtId="195" formatCode="yyyy&quot;年&quot;m&quot;月&quot;;@"/>
    <numFmt numFmtId="196" formatCode="[h]:mm"/>
    <numFmt numFmtId="197" formatCode="[h]&quot;時間&quot;:mm&quot;分&quot;"/>
    <numFmt numFmtId="198" formatCode="[h]&quot;時間&quot;mm&quot;分&quot;"/>
    <numFmt numFmtId="199" formatCode="yyyy&quot;年&quot;m&quot;月&quot;d&quot;日&quot;\(aaa\)"/>
  </numFmts>
  <fonts count="26">
    <font>
      <sz val="11"/>
      <name val="ＭＳ Ｐゴシック"/>
      <family val="3"/>
    </font>
    <font>
      <sz val="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0"/>
      <name val="Arial Unicode MS"/>
      <family val="3"/>
    </font>
    <font>
      <u val="single"/>
      <sz val="14"/>
      <color indexed="12"/>
      <name val="ＭＳ Ｐゴシック"/>
      <family val="3"/>
    </font>
    <font>
      <b/>
      <sz val="11"/>
      <color indexed="62"/>
      <name val="ＭＳ Ｐゴシック"/>
      <family val="3"/>
    </font>
    <font>
      <sz val="10"/>
      <name val="ＭＳ Ｐゴシック"/>
      <family val="3"/>
    </font>
    <font>
      <sz val="11"/>
      <color indexed="62"/>
      <name val="ＭＳ Ｐゴシック"/>
      <family val="3"/>
    </font>
    <font>
      <sz val="12"/>
      <name val="ＭＳ Ｐゴシック"/>
      <family val="3"/>
    </font>
    <font>
      <sz val="11"/>
      <color indexed="10"/>
      <name val="ＭＳ Ｐゴシック"/>
      <family val="3"/>
    </font>
    <font>
      <sz val="9"/>
      <name val="ＭＳ Ｐゴシック"/>
      <family val="3"/>
    </font>
    <font>
      <b/>
      <sz val="9"/>
      <name val="ＭＳ Ｐゴシック"/>
      <family val="3"/>
    </font>
    <font>
      <sz val="11"/>
      <color indexed="8"/>
      <name val="MS UI Gothic"/>
      <family val="3"/>
    </font>
    <font>
      <b/>
      <sz val="13.5"/>
      <name val="ＭＳ Ｐゴシック"/>
      <family val="3"/>
    </font>
    <font>
      <u val="single"/>
      <sz val="12"/>
      <name val="ＭＳ Ｐゴシック"/>
      <family val="3"/>
    </font>
    <font>
      <b/>
      <sz val="11"/>
      <color indexed="12"/>
      <name val="ＭＳ Ｐゴシック"/>
      <family val="3"/>
    </font>
    <font>
      <b/>
      <sz val="12"/>
      <color indexed="62"/>
      <name val="ＭＳ Ｐゴシック"/>
      <family val="3"/>
    </font>
    <font>
      <sz val="11"/>
      <color indexed="17"/>
      <name val="ＭＳ Ｐゴシック"/>
      <family val="3"/>
    </font>
    <font>
      <b/>
      <sz val="11"/>
      <color indexed="10"/>
      <name val="ＭＳ Ｐゴシック"/>
      <family val="3"/>
    </font>
    <font>
      <b/>
      <i/>
      <sz val="11"/>
      <color indexed="10"/>
      <name val="ＭＳ Ｐゴシック"/>
      <family val="3"/>
    </font>
    <font>
      <sz val="11"/>
      <color indexed="21"/>
      <name val="ＭＳ Ｐゴシック"/>
      <family val="3"/>
    </font>
    <font>
      <sz val="11"/>
      <name val="ＭＳ Ｐ明朝"/>
      <family val="1"/>
    </font>
    <font>
      <b/>
      <sz val="8"/>
      <name val="ＭＳ Ｐゴシック"/>
      <family val="2"/>
    </font>
  </fonts>
  <fills count="15">
    <fill>
      <patternFill/>
    </fill>
    <fill>
      <patternFill patternType="gray125"/>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
      <patternFill patternType="solid">
        <fgColor indexed="47"/>
        <bgColor indexed="64"/>
      </patternFill>
    </fill>
    <fill>
      <patternFill patternType="solid">
        <fgColor indexed="52"/>
        <bgColor indexed="64"/>
      </patternFill>
    </fill>
    <fill>
      <patternFill patternType="solid">
        <fgColor indexed="4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11"/>
        <bgColor indexed="64"/>
      </patternFill>
    </fill>
    <fill>
      <patternFill patternType="solid">
        <fgColor indexed="40"/>
        <bgColor indexed="64"/>
      </patternFill>
    </fill>
    <fill>
      <patternFill patternType="solid">
        <fgColor indexed="50"/>
        <bgColor indexed="64"/>
      </patternFill>
    </fill>
  </fills>
  <borders count="115">
    <border>
      <left/>
      <right/>
      <top/>
      <bottom/>
      <diagonal/>
    </border>
    <border>
      <left style="medium">
        <color indexed="17"/>
      </left>
      <right style="dotted">
        <color indexed="17"/>
      </right>
      <top style="medium">
        <color indexed="17"/>
      </top>
      <bottom style="dotted">
        <color indexed="17"/>
      </bottom>
    </border>
    <border>
      <left style="dotted">
        <color indexed="17"/>
      </left>
      <right style="dotted">
        <color indexed="17"/>
      </right>
      <top style="medium">
        <color indexed="17"/>
      </top>
      <bottom style="dotted">
        <color indexed="17"/>
      </bottom>
    </border>
    <border>
      <left style="dotted">
        <color indexed="17"/>
      </left>
      <right style="medium">
        <color indexed="17"/>
      </right>
      <top style="medium">
        <color indexed="17"/>
      </top>
      <bottom style="dotted">
        <color indexed="17"/>
      </bottom>
    </border>
    <border>
      <left style="medium">
        <color indexed="17"/>
      </left>
      <right style="dotted">
        <color indexed="17"/>
      </right>
      <top style="dotted">
        <color indexed="17"/>
      </top>
      <bottom style="dotted">
        <color indexed="17"/>
      </bottom>
    </border>
    <border>
      <left style="dotted">
        <color indexed="17"/>
      </left>
      <right style="dotted">
        <color indexed="17"/>
      </right>
      <top style="dotted">
        <color indexed="17"/>
      </top>
      <bottom style="dotted">
        <color indexed="17"/>
      </bottom>
    </border>
    <border>
      <left style="dotted">
        <color indexed="17"/>
      </left>
      <right style="medium">
        <color indexed="17"/>
      </right>
      <top style="dotted">
        <color indexed="17"/>
      </top>
      <bottom style="dotted">
        <color indexed="17"/>
      </bottom>
    </border>
    <border>
      <left style="medium">
        <color indexed="17"/>
      </left>
      <right style="dotted">
        <color indexed="17"/>
      </right>
      <top style="dotted">
        <color indexed="17"/>
      </top>
      <bottom style="medium">
        <color indexed="17"/>
      </bottom>
    </border>
    <border>
      <left style="dotted">
        <color indexed="17"/>
      </left>
      <right style="dotted">
        <color indexed="17"/>
      </right>
      <top style="dotted">
        <color indexed="17"/>
      </top>
      <bottom style="medium">
        <color indexed="17"/>
      </bottom>
    </border>
    <border>
      <left style="dotted">
        <color indexed="17"/>
      </left>
      <right style="medium">
        <color indexed="17"/>
      </right>
      <top style="dotted">
        <color indexed="17"/>
      </top>
      <bottom style="medium">
        <color indexed="17"/>
      </bottom>
    </border>
    <border>
      <left>
        <color indexed="63"/>
      </left>
      <right style="dashed">
        <color indexed="41"/>
      </right>
      <top>
        <color indexed="63"/>
      </top>
      <bottom>
        <color indexed="63"/>
      </bottom>
    </border>
    <border>
      <left style="dashed">
        <color indexed="41"/>
      </left>
      <right style="dashed">
        <color indexed="41"/>
      </right>
      <top>
        <color indexed="63"/>
      </top>
      <bottom>
        <color indexed="63"/>
      </bottom>
    </border>
    <border>
      <left style="dashed">
        <color indexed="41"/>
      </left>
      <right>
        <color indexed="63"/>
      </right>
      <top>
        <color indexed="63"/>
      </top>
      <bottom>
        <color indexed="63"/>
      </bottom>
    </border>
    <border>
      <left>
        <color indexed="63"/>
      </left>
      <right style="thin">
        <color indexed="11"/>
      </right>
      <top>
        <color indexed="63"/>
      </top>
      <bottom>
        <color indexed="63"/>
      </bottom>
    </border>
    <border>
      <left>
        <color indexed="63"/>
      </left>
      <right style="thin">
        <color indexed="15"/>
      </right>
      <top>
        <color indexed="63"/>
      </top>
      <bottom>
        <color indexed="63"/>
      </bottom>
    </border>
    <border>
      <left>
        <color indexed="63"/>
      </left>
      <right>
        <color indexed="63"/>
      </right>
      <top style="thin">
        <color indexed="40"/>
      </top>
      <bottom style="thin">
        <color indexed="40"/>
      </bottom>
    </border>
    <border>
      <left style="thin">
        <color indexed="40"/>
      </left>
      <right style="thin">
        <color indexed="40"/>
      </right>
      <top style="thin">
        <color indexed="40"/>
      </top>
      <bottom>
        <color indexed="63"/>
      </bottom>
    </border>
    <border>
      <left style="thin">
        <color indexed="40"/>
      </left>
      <right style="thin">
        <color indexed="40"/>
      </right>
      <top>
        <color indexed="63"/>
      </top>
      <bottom>
        <color indexed="63"/>
      </bottom>
    </border>
    <border>
      <left style="thin">
        <color indexed="40"/>
      </left>
      <right style="thin">
        <color indexed="40"/>
      </right>
      <top style="thin">
        <color indexed="40"/>
      </top>
      <bottom style="thin">
        <color indexed="40"/>
      </bottom>
    </border>
    <border>
      <left style="medium">
        <color indexed="53"/>
      </left>
      <right style="dashed">
        <color indexed="53"/>
      </right>
      <top style="medium">
        <color indexed="53"/>
      </top>
      <bottom style="dashed">
        <color indexed="53"/>
      </bottom>
    </border>
    <border>
      <left style="dashed">
        <color indexed="53"/>
      </left>
      <right style="dashed">
        <color indexed="53"/>
      </right>
      <top style="medium">
        <color indexed="53"/>
      </top>
      <bottom style="dashed">
        <color indexed="53"/>
      </bottom>
    </border>
    <border>
      <left style="dashed">
        <color indexed="53"/>
      </left>
      <right style="medium">
        <color indexed="53"/>
      </right>
      <top style="medium">
        <color indexed="53"/>
      </top>
      <bottom style="dashed">
        <color indexed="53"/>
      </bottom>
    </border>
    <border>
      <left style="medium">
        <color indexed="53"/>
      </left>
      <right style="dashed">
        <color indexed="53"/>
      </right>
      <top style="dashed">
        <color indexed="53"/>
      </top>
      <bottom style="medium">
        <color indexed="53"/>
      </bottom>
    </border>
    <border>
      <left style="dashed">
        <color indexed="53"/>
      </left>
      <right style="dashed">
        <color indexed="53"/>
      </right>
      <top style="dashed">
        <color indexed="53"/>
      </top>
      <bottom style="medium">
        <color indexed="53"/>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61"/>
      </left>
      <right style="thin">
        <color indexed="61"/>
      </right>
      <top style="medium">
        <color indexed="61"/>
      </top>
      <bottom style="thin">
        <color indexed="61"/>
      </bottom>
    </border>
    <border>
      <left style="thin">
        <color indexed="61"/>
      </left>
      <right style="thin">
        <color indexed="61"/>
      </right>
      <top style="medium">
        <color indexed="61"/>
      </top>
      <bottom style="thin">
        <color indexed="61"/>
      </bottom>
    </border>
    <border>
      <left style="thin">
        <color indexed="61"/>
      </left>
      <right style="medium">
        <color indexed="61"/>
      </right>
      <top style="medium">
        <color indexed="61"/>
      </top>
      <bottom style="thin">
        <color indexed="61"/>
      </bottom>
    </border>
    <border>
      <left style="medium">
        <color indexed="61"/>
      </left>
      <right style="thin">
        <color indexed="61"/>
      </right>
      <top style="thin">
        <color indexed="61"/>
      </top>
      <bottom style="thin">
        <color indexed="61"/>
      </bottom>
    </border>
    <border>
      <left style="thin">
        <color indexed="61"/>
      </left>
      <right style="medium">
        <color indexed="61"/>
      </right>
      <top style="thin">
        <color indexed="61"/>
      </top>
      <bottom style="thin">
        <color indexed="61"/>
      </bottom>
    </border>
    <border>
      <left style="medium">
        <color indexed="61"/>
      </left>
      <right style="thin">
        <color indexed="61"/>
      </right>
      <top style="thin">
        <color indexed="61"/>
      </top>
      <bottom style="medium">
        <color indexed="61"/>
      </bottom>
    </border>
    <border>
      <left style="thin">
        <color indexed="61"/>
      </left>
      <right style="medium">
        <color indexed="61"/>
      </right>
      <top style="thin">
        <color indexed="61"/>
      </top>
      <bottom style="medium">
        <color indexed="61"/>
      </bottom>
    </border>
    <border>
      <left style="thin">
        <color indexed="61"/>
      </left>
      <right style="thin">
        <color indexed="61"/>
      </right>
      <top style="thin">
        <color indexed="61"/>
      </top>
      <bottom style="thin">
        <color indexed="61"/>
      </bottom>
    </border>
    <border>
      <left style="thin">
        <color indexed="61"/>
      </left>
      <right style="thin">
        <color indexed="61"/>
      </right>
      <top style="thin">
        <color indexed="61"/>
      </top>
      <bottom style="medium">
        <color indexed="61"/>
      </bottom>
    </border>
    <border>
      <left>
        <color indexed="63"/>
      </left>
      <right style="thin">
        <color indexed="40"/>
      </right>
      <top>
        <color indexed="63"/>
      </top>
      <bottom>
        <color indexed="63"/>
      </bottom>
    </border>
    <border>
      <left style="medium">
        <color indexed="60"/>
      </left>
      <right style="thin">
        <color indexed="60"/>
      </right>
      <top style="thin">
        <color indexed="60"/>
      </top>
      <bottom>
        <color indexed="63"/>
      </bottom>
    </border>
    <border>
      <left>
        <color indexed="63"/>
      </left>
      <right style="medium">
        <color indexed="60"/>
      </right>
      <top style="medium">
        <color indexed="60"/>
      </top>
      <bottom style="thin">
        <color indexed="60"/>
      </bottom>
    </border>
    <border>
      <left style="thin">
        <color indexed="60"/>
      </left>
      <right>
        <color indexed="63"/>
      </right>
      <top style="medium">
        <color indexed="60"/>
      </top>
      <bottom style="thin">
        <color indexed="60"/>
      </bottom>
    </border>
    <border>
      <left style="dashed">
        <color indexed="53"/>
      </left>
      <right style="medium">
        <color indexed="53"/>
      </right>
      <top style="dashed">
        <color indexed="53"/>
      </top>
      <bottom style="medium">
        <color indexed="53"/>
      </bottom>
    </border>
    <border>
      <left style="thin">
        <color indexed="41"/>
      </left>
      <right style="thin">
        <color indexed="41"/>
      </right>
      <top>
        <color indexed="63"/>
      </top>
      <bottom>
        <color indexed="63"/>
      </bottom>
    </border>
    <border>
      <left style="thin">
        <color indexed="41"/>
      </left>
      <right style="thin">
        <color indexed="41"/>
      </right>
      <top style="thin">
        <color indexed="41"/>
      </top>
      <bottom style="thin">
        <color indexed="41"/>
      </bottom>
    </border>
    <border>
      <left style="medium">
        <color indexed="17"/>
      </left>
      <right style="thin">
        <color indexed="17"/>
      </right>
      <top style="medium">
        <color indexed="17"/>
      </top>
      <bottom style="thin">
        <color indexed="17"/>
      </bottom>
    </border>
    <border>
      <left style="thin">
        <color indexed="17"/>
      </left>
      <right style="medium">
        <color indexed="17"/>
      </right>
      <top style="medium">
        <color indexed="17"/>
      </top>
      <bottom style="thin">
        <color indexed="17"/>
      </bottom>
    </border>
    <border>
      <left style="medium">
        <color indexed="17"/>
      </left>
      <right style="thin">
        <color indexed="17"/>
      </right>
      <top style="thin">
        <color indexed="17"/>
      </top>
      <bottom style="medium">
        <color indexed="17"/>
      </bottom>
    </border>
    <border>
      <left>
        <color indexed="63"/>
      </left>
      <right style="thin">
        <color indexed="12"/>
      </right>
      <top>
        <color indexed="63"/>
      </top>
      <bottom style="thin">
        <color indexed="12"/>
      </bottom>
    </border>
    <border>
      <left style="thin">
        <color indexed="12"/>
      </left>
      <right>
        <color indexed="63"/>
      </right>
      <top>
        <color indexed="63"/>
      </top>
      <bottom style="thin">
        <color indexed="12"/>
      </bottom>
    </border>
    <border>
      <left>
        <color indexed="63"/>
      </left>
      <right style="thin">
        <color indexed="12"/>
      </right>
      <top style="thin">
        <color indexed="12"/>
      </top>
      <bottom style="thin">
        <color indexed="12"/>
      </bottom>
    </border>
    <border>
      <left style="thin">
        <color indexed="12"/>
      </left>
      <right>
        <color indexed="63"/>
      </right>
      <top style="thin">
        <color indexed="12"/>
      </top>
      <bottom style="thin">
        <color indexed="12"/>
      </bottom>
    </border>
    <border>
      <left>
        <color indexed="63"/>
      </left>
      <right style="thin">
        <color indexed="12"/>
      </right>
      <top style="thin">
        <color indexed="12"/>
      </top>
      <bottom>
        <color indexed="63"/>
      </bottom>
    </border>
    <border>
      <left style="thin">
        <color indexed="12"/>
      </left>
      <right>
        <color indexed="63"/>
      </right>
      <top style="thin">
        <color indexed="12"/>
      </top>
      <bottom>
        <color indexed="63"/>
      </bottom>
    </border>
    <border>
      <left style="thin">
        <color indexed="17"/>
      </left>
      <right style="medium">
        <color indexed="17"/>
      </right>
      <top style="thin">
        <color indexed="17"/>
      </top>
      <bottom style="medium">
        <color indexed="17"/>
      </bottom>
    </border>
    <border>
      <left>
        <color indexed="63"/>
      </left>
      <right style="dotted">
        <color indexed="17"/>
      </right>
      <top style="medium">
        <color indexed="17"/>
      </top>
      <bottom>
        <color indexed="63"/>
      </bottom>
    </border>
    <border>
      <left style="medium">
        <color indexed="60"/>
      </left>
      <right style="thin">
        <color indexed="60"/>
      </right>
      <top style="medium">
        <color indexed="60"/>
      </top>
      <bottom style="medium">
        <color indexed="60"/>
      </bottom>
    </border>
    <border>
      <left style="thin">
        <color indexed="60"/>
      </left>
      <right style="medium">
        <color indexed="60"/>
      </right>
      <top style="medium">
        <color indexed="60"/>
      </top>
      <bottom style="medium">
        <color indexed="60"/>
      </bottom>
    </border>
    <border>
      <left>
        <color indexed="63"/>
      </left>
      <right style="medium">
        <color indexed="62"/>
      </right>
      <top style="medium">
        <color indexed="62"/>
      </top>
      <bottom>
        <color indexed="63"/>
      </bottom>
    </border>
    <border>
      <left>
        <color indexed="63"/>
      </left>
      <right style="medium">
        <color indexed="62"/>
      </right>
      <top>
        <color indexed="63"/>
      </top>
      <bottom style="medium">
        <color indexed="62"/>
      </bottom>
    </border>
    <border>
      <left style="hair">
        <color indexed="62"/>
      </left>
      <right style="hair">
        <color indexed="62"/>
      </right>
      <top>
        <color indexed="63"/>
      </top>
      <bottom style="medium">
        <color indexed="62"/>
      </bottom>
    </border>
    <border>
      <left style="hair">
        <color indexed="62"/>
      </left>
      <right style="hair">
        <color indexed="62"/>
      </right>
      <top style="medium">
        <color indexed="62"/>
      </top>
      <bottom>
        <color indexed="63"/>
      </bottom>
    </border>
    <border>
      <left>
        <color indexed="63"/>
      </left>
      <right>
        <color indexed="63"/>
      </right>
      <top>
        <color indexed="63"/>
      </top>
      <bottom style="medium">
        <color indexed="62"/>
      </bottom>
    </border>
    <border>
      <left>
        <color indexed="63"/>
      </left>
      <right>
        <color indexed="63"/>
      </right>
      <top style="medium">
        <color indexed="62"/>
      </top>
      <bottom>
        <color indexed="63"/>
      </bottom>
    </border>
    <border>
      <left style="hair">
        <color indexed="62"/>
      </left>
      <right style="hair">
        <color indexed="62"/>
      </right>
      <top>
        <color indexed="63"/>
      </top>
      <bottom>
        <color indexed="63"/>
      </bottom>
    </border>
    <border>
      <left>
        <color indexed="63"/>
      </left>
      <right style="medium">
        <color indexed="62"/>
      </right>
      <top>
        <color indexed="63"/>
      </top>
      <bottom>
        <color indexed="63"/>
      </bottom>
    </border>
    <border>
      <left style="thin">
        <color indexed="17"/>
      </left>
      <right style="thin">
        <color indexed="17"/>
      </right>
      <top style="thin">
        <color indexed="17"/>
      </top>
      <bottom style="thin">
        <color indexed="17"/>
      </bottom>
    </border>
    <border>
      <left style="thin">
        <color indexed="17"/>
      </left>
      <right style="thin">
        <color indexed="17"/>
      </right>
      <top>
        <color indexed="63"/>
      </top>
      <bottom>
        <color indexed="63"/>
      </bottom>
    </border>
    <border>
      <left>
        <color indexed="63"/>
      </left>
      <right>
        <color indexed="63"/>
      </right>
      <top style="thin">
        <color indexed="17"/>
      </top>
      <bottom>
        <color indexed="63"/>
      </bottom>
    </border>
    <border>
      <left>
        <color indexed="63"/>
      </left>
      <right>
        <color indexed="63"/>
      </right>
      <top>
        <color indexed="63"/>
      </top>
      <bottom style="thin">
        <color indexed="17"/>
      </bottom>
    </border>
    <border>
      <left style="thin">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style="thin">
        <color indexed="14"/>
      </left>
      <right style="thin">
        <color indexed="14"/>
      </right>
      <top style="thin">
        <color indexed="14"/>
      </top>
      <bottom style="thin">
        <color indexed="14"/>
      </bottom>
    </border>
    <border>
      <left style="dashed">
        <color indexed="41"/>
      </left>
      <right style="dashed">
        <color indexed="41"/>
      </right>
      <top style="thin">
        <color indexed="41"/>
      </top>
      <bottom style="thin">
        <color indexed="41"/>
      </bottom>
    </border>
    <border>
      <left style="thin">
        <color indexed="41"/>
      </left>
      <right>
        <color indexed="63"/>
      </right>
      <top style="thin">
        <color indexed="41"/>
      </top>
      <bottom style="thin">
        <color indexed="41"/>
      </bottom>
    </border>
    <border>
      <left style="dashed">
        <color indexed="41"/>
      </left>
      <right style="dashed">
        <color indexed="41"/>
      </right>
      <top style="dashed">
        <color indexed="41"/>
      </top>
      <bottom style="thin">
        <color indexed="41"/>
      </bottom>
    </border>
    <border>
      <left style="thin">
        <color indexed="18"/>
      </left>
      <right>
        <color indexed="63"/>
      </right>
      <top>
        <color indexed="63"/>
      </top>
      <bottom>
        <color indexed="63"/>
      </bottom>
    </border>
    <border>
      <left style="thin">
        <color indexed="12"/>
      </left>
      <right>
        <color indexed="63"/>
      </right>
      <top>
        <color indexed="63"/>
      </top>
      <bottom>
        <color indexed="63"/>
      </bottom>
    </border>
    <border>
      <left>
        <color indexed="63"/>
      </left>
      <right style="thin">
        <color indexed="60"/>
      </right>
      <top>
        <color indexed="63"/>
      </top>
      <bottom>
        <color indexed="63"/>
      </bottom>
    </border>
    <border>
      <left style="thin">
        <color indexed="60"/>
      </left>
      <right>
        <color indexed="63"/>
      </right>
      <top>
        <color indexed="63"/>
      </top>
      <bottom>
        <color indexed="63"/>
      </bottom>
    </border>
    <border>
      <left style="thin">
        <color indexed="60"/>
      </left>
      <right>
        <color indexed="63"/>
      </right>
      <top style="thin">
        <color indexed="60"/>
      </top>
      <bottom>
        <color indexed="63"/>
      </bottom>
    </border>
    <border>
      <left>
        <color indexed="63"/>
      </left>
      <right>
        <color indexed="63"/>
      </right>
      <top style="thin">
        <color indexed="60"/>
      </top>
      <bottom>
        <color indexed="63"/>
      </bottom>
    </border>
    <border>
      <left>
        <color indexed="63"/>
      </left>
      <right style="thin">
        <color indexed="60"/>
      </right>
      <top style="thin">
        <color indexed="60"/>
      </top>
      <bottom>
        <color indexed="63"/>
      </bottom>
    </border>
    <border>
      <left style="thin">
        <color indexed="60"/>
      </left>
      <right>
        <color indexed="63"/>
      </right>
      <top>
        <color indexed="63"/>
      </top>
      <bottom style="thin">
        <color indexed="60"/>
      </bottom>
    </border>
    <border>
      <left>
        <color indexed="63"/>
      </left>
      <right>
        <color indexed="63"/>
      </right>
      <top>
        <color indexed="63"/>
      </top>
      <bottom style="thin">
        <color indexed="60"/>
      </bottom>
    </border>
    <border>
      <left>
        <color indexed="63"/>
      </left>
      <right style="thin">
        <color indexed="60"/>
      </right>
      <top>
        <color indexed="63"/>
      </top>
      <bottom style="thin">
        <color indexed="60"/>
      </bottom>
    </border>
    <border>
      <left style="medium">
        <color indexed="62"/>
      </left>
      <right>
        <color indexed="63"/>
      </right>
      <top>
        <color indexed="63"/>
      </top>
      <bottom>
        <color indexed="63"/>
      </bottom>
    </border>
    <border>
      <left style="medium">
        <color indexed="62"/>
      </left>
      <right>
        <color indexed="63"/>
      </right>
      <top>
        <color indexed="63"/>
      </top>
      <bottom style="medium">
        <color indexed="62"/>
      </bottom>
    </border>
    <border>
      <left style="medium">
        <color indexed="62"/>
      </left>
      <right>
        <color indexed="63"/>
      </right>
      <top style="medium">
        <color indexed="62"/>
      </top>
      <bottom>
        <color indexed="63"/>
      </bottom>
    </border>
    <border>
      <left style="thin">
        <color indexed="11"/>
      </left>
      <right style="thin">
        <color indexed="11"/>
      </right>
      <top>
        <color indexed="63"/>
      </top>
      <bottom>
        <color indexed="63"/>
      </bottom>
    </border>
    <border>
      <left style="thin">
        <color indexed="11"/>
      </left>
      <right>
        <color indexed="63"/>
      </right>
      <top>
        <color indexed="63"/>
      </top>
      <bottom>
        <color indexed="63"/>
      </bottom>
    </border>
    <border>
      <left style="thin">
        <color indexed="15"/>
      </left>
      <right style="thin">
        <color indexed="15"/>
      </right>
      <top>
        <color indexed="63"/>
      </top>
      <bottom>
        <color indexed="63"/>
      </bottom>
    </border>
    <border>
      <left style="thin">
        <color indexed="15"/>
      </left>
      <right>
        <color indexed="63"/>
      </right>
      <top>
        <color indexed="63"/>
      </top>
      <bottom>
        <color indexed="63"/>
      </bottom>
    </border>
    <border>
      <left style="thin">
        <color indexed="41"/>
      </left>
      <right>
        <color indexed="63"/>
      </right>
      <top>
        <color indexed="63"/>
      </top>
      <bottom>
        <color indexed="63"/>
      </bottom>
    </border>
    <border>
      <left style="thin">
        <color indexed="41"/>
      </left>
      <right style="thin">
        <color indexed="41"/>
      </right>
      <top style="medium">
        <color indexed="41"/>
      </top>
      <bottom style="thin">
        <color indexed="41"/>
      </bottom>
    </border>
    <border>
      <left style="thin">
        <color indexed="41"/>
      </left>
      <right>
        <color indexed="63"/>
      </right>
      <top style="medium">
        <color indexed="41"/>
      </top>
      <bottom style="thin">
        <color indexed="41"/>
      </bottom>
    </border>
    <border>
      <left style="thin">
        <color indexed="41"/>
      </left>
      <right>
        <color indexed="63"/>
      </right>
      <top style="thin">
        <color indexed="41"/>
      </top>
      <bottom>
        <color indexed="63"/>
      </bottom>
    </border>
    <border>
      <left>
        <color indexed="63"/>
      </left>
      <right>
        <color indexed="63"/>
      </right>
      <top style="thin">
        <color indexed="41"/>
      </top>
      <bottom>
        <color indexed="63"/>
      </bottom>
    </border>
    <border>
      <left style="thin">
        <color indexed="41"/>
      </left>
      <right style="thin">
        <color indexed="41"/>
      </right>
      <top style="thin">
        <color indexed="41"/>
      </top>
      <bottom>
        <color indexed="63"/>
      </bottom>
    </border>
    <border>
      <left style="thin">
        <color indexed="41"/>
      </left>
      <right style="thin">
        <color indexed="41"/>
      </right>
      <top>
        <color indexed="63"/>
      </top>
      <bottom style="thin">
        <color indexed="41"/>
      </bottom>
    </border>
    <border>
      <left style="dashed">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style="dashed">
        <color indexed="41"/>
      </left>
      <right>
        <color indexed="63"/>
      </right>
      <top style="dashed">
        <color indexed="41"/>
      </top>
      <bottom style="thin">
        <color indexed="41"/>
      </bottom>
    </border>
    <border>
      <left>
        <color indexed="63"/>
      </left>
      <right>
        <color indexed="63"/>
      </right>
      <top style="dashed">
        <color indexed="41"/>
      </top>
      <bottom style="thin">
        <color indexed="41"/>
      </bottom>
    </border>
    <border>
      <left>
        <color indexed="63"/>
      </left>
      <right>
        <color indexed="63"/>
      </right>
      <top style="thin">
        <color indexed="40"/>
      </top>
      <bottom>
        <color indexed="63"/>
      </bottom>
    </border>
    <border>
      <left style="thin">
        <color indexed="40"/>
      </left>
      <right>
        <color indexed="63"/>
      </right>
      <top>
        <color indexed="63"/>
      </top>
      <bottom>
        <color indexed="63"/>
      </bottom>
    </border>
    <border>
      <left style="thin">
        <color indexed="60"/>
      </left>
      <right>
        <color indexed="63"/>
      </right>
      <top style="thin">
        <color indexed="60"/>
      </top>
      <bottom style="thin">
        <color indexed="60"/>
      </bottom>
    </border>
    <border>
      <left>
        <color indexed="63"/>
      </left>
      <right style="medium">
        <color indexed="60"/>
      </right>
      <top style="thin">
        <color indexed="60"/>
      </top>
      <bottom style="thin">
        <color indexed="60"/>
      </bottom>
    </border>
    <border>
      <left style="thin">
        <color indexed="60"/>
      </left>
      <right>
        <color indexed="63"/>
      </right>
      <top style="thin">
        <color indexed="60"/>
      </top>
      <bottom style="medium">
        <color indexed="60"/>
      </bottom>
    </border>
    <border>
      <left>
        <color indexed="63"/>
      </left>
      <right style="medium">
        <color indexed="60"/>
      </right>
      <top style="thin">
        <color indexed="60"/>
      </top>
      <bottom style="medium">
        <color indexed="60"/>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578">
    <xf numFmtId="0" fontId="0" fillId="0" borderId="0" xfId="0" applyAlignment="1">
      <alignment vertical="center"/>
    </xf>
    <xf numFmtId="0" fontId="2" fillId="0" borderId="0" xfId="0" applyFont="1" applyAlignment="1">
      <alignment vertical="center"/>
    </xf>
    <xf numFmtId="0" fontId="3" fillId="0" borderId="0" xfId="16" applyAlignment="1">
      <alignment vertical="center"/>
    </xf>
    <xf numFmtId="0" fontId="0" fillId="0" borderId="0" xfId="0" applyAlignment="1">
      <alignment vertical="top" wrapText="1"/>
    </xf>
    <xf numFmtId="0" fontId="0" fillId="0" borderId="0" xfId="0" applyAlignment="1">
      <alignment vertical="center" wrapText="1"/>
    </xf>
    <xf numFmtId="14" fontId="0" fillId="0" borderId="0" xfId="0" applyNumberFormat="1" applyAlignment="1">
      <alignment vertical="center"/>
    </xf>
    <xf numFmtId="0" fontId="7" fillId="0" borderId="0" xfId="16" applyFont="1" applyAlignment="1">
      <alignment vertical="center"/>
    </xf>
    <xf numFmtId="0" fontId="0" fillId="2" borderId="0" xfId="0" applyFill="1" applyAlignment="1">
      <alignment vertical="center"/>
    </xf>
    <xf numFmtId="0" fontId="0" fillId="3" borderId="0" xfId="0" applyFill="1" applyAlignment="1">
      <alignment horizontal="center" vertical="center"/>
    </xf>
    <xf numFmtId="0" fontId="0" fillId="2" borderId="0" xfId="0" applyFill="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14" fontId="0" fillId="0" borderId="0" xfId="0" applyNumberFormat="1" applyFill="1" applyAlignment="1">
      <alignment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xf>
    <xf numFmtId="0" fontId="0" fillId="0" borderId="0" xfId="0" applyAlignment="1" quotePrefix="1">
      <alignment vertical="center"/>
    </xf>
    <xf numFmtId="0" fontId="0" fillId="0" borderId="0" xfId="0" applyFill="1" applyAlignment="1" quotePrefix="1">
      <alignment vertical="center" wrapText="1"/>
    </xf>
    <xf numFmtId="0" fontId="0" fillId="4" borderId="1" xfId="0" applyFill="1" applyBorder="1" applyAlignment="1">
      <alignment vertical="center"/>
    </xf>
    <xf numFmtId="0" fontId="0" fillId="4" borderId="2" xfId="0" applyFill="1" applyBorder="1" applyAlignment="1">
      <alignment vertical="center"/>
    </xf>
    <xf numFmtId="0" fontId="0" fillId="4" borderId="3" xfId="0" applyFill="1" applyBorder="1" applyAlignment="1">
      <alignment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4" xfId="0" applyFill="1" applyBorder="1" applyAlignment="1">
      <alignment vertical="center"/>
    </xf>
    <xf numFmtId="0" fontId="0" fillId="4" borderId="5" xfId="0" applyFill="1" applyBorder="1" applyAlignment="1">
      <alignment vertical="center"/>
    </xf>
    <xf numFmtId="0" fontId="0" fillId="4" borderId="6" xfId="0" applyFill="1" applyBorder="1" applyAlignment="1">
      <alignment vertical="center"/>
    </xf>
    <xf numFmtId="0" fontId="0" fillId="4" borderId="7" xfId="0" applyFill="1" applyBorder="1" applyAlignment="1" quotePrefix="1">
      <alignment vertical="center"/>
    </xf>
    <xf numFmtId="14" fontId="0" fillId="4" borderId="8" xfId="0" applyNumberFormat="1" applyFill="1" applyBorder="1" applyAlignment="1">
      <alignment vertical="center"/>
    </xf>
    <xf numFmtId="0" fontId="0" fillId="5" borderId="0" xfId="0" applyFill="1" applyAlignment="1">
      <alignment vertical="center"/>
    </xf>
    <xf numFmtId="31" fontId="0" fillId="5" borderId="0" xfId="0" applyNumberFormat="1" applyFill="1" applyAlignment="1">
      <alignment vertical="center"/>
    </xf>
    <xf numFmtId="0" fontId="0" fillId="5" borderId="0" xfId="0" applyFill="1" applyAlignment="1">
      <alignment vertical="center"/>
    </xf>
    <xf numFmtId="0" fontId="0" fillId="5" borderId="0" xfId="0" applyFill="1" applyAlignment="1">
      <alignment vertical="center" wrapText="1"/>
    </xf>
    <xf numFmtId="179" fontId="0" fillId="4" borderId="9" xfId="0" applyNumberFormat="1" applyFill="1" applyBorder="1" applyAlignment="1">
      <alignment horizontal="center" vertical="center"/>
    </xf>
    <xf numFmtId="0" fontId="0" fillId="0" borderId="0" xfId="0" applyAlignment="1">
      <alignment vertical="center"/>
    </xf>
    <xf numFmtId="0" fontId="0" fillId="2" borderId="10" xfId="0" applyFill="1" applyBorder="1" applyAlignment="1">
      <alignment horizontal="center"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12" xfId="0" applyFill="1" applyBorder="1" applyAlignment="1">
      <alignment vertical="center"/>
    </xf>
    <xf numFmtId="0" fontId="0" fillId="4" borderId="13" xfId="0" applyFont="1" applyFill="1" applyBorder="1" applyAlignment="1">
      <alignment horizontal="center" vertical="center"/>
    </xf>
    <xf numFmtId="0" fontId="0" fillId="4" borderId="13" xfId="0" applyFill="1" applyBorder="1" applyAlignment="1">
      <alignment vertical="center"/>
    </xf>
    <xf numFmtId="0" fontId="0" fillId="3" borderId="14" xfId="0" applyFill="1" applyBorder="1" applyAlignment="1">
      <alignment horizontal="center" vertical="center"/>
    </xf>
    <xf numFmtId="0" fontId="5" fillId="2" borderId="0" xfId="0" applyFont="1" applyFill="1" applyAlignment="1">
      <alignment horizontal="center" vertical="center" wrapText="1"/>
    </xf>
    <xf numFmtId="0" fontId="0" fillId="2" borderId="0" xfId="0" applyFill="1" applyAlignment="1">
      <alignment vertical="top" wrapText="1"/>
    </xf>
    <xf numFmtId="0" fontId="0" fillId="2" borderId="15" xfId="0" applyFill="1" applyBorder="1" applyAlignment="1">
      <alignment vertical="center"/>
    </xf>
    <xf numFmtId="0" fontId="10" fillId="2" borderId="16" xfId="0" applyFont="1" applyFill="1" applyBorder="1" applyAlignment="1">
      <alignment horizontal="center" vertical="top" wrapText="1"/>
    </xf>
    <xf numFmtId="0" fontId="10" fillId="2" borderId="17" xfId="0" applyFont="1" applyFill="1" applyBorder="1" applyAlignment="1">
      <alignment horizontal="center" vertical="top" wrapText="1"/>
    </xf>
    <xf numFmtId="0" fontId="8" fillId="2" borderId="17" xfId="0" applyFont="1" applyFill="1" applyBorder="1" applyAlignment="1">
      <alignment vertical="center"/>
    </xf>
    <xf numFmtId="0" fontId="8" fillId="2" borderId="18" xfId="0" applyFont="1" applyFill="1" applyBorder="1" applyAlignment="1">
      <alignment vertical="center"/>
    </xf>
    <xf numFmtId="0" fontId="8" fillId="2" borderId="17" xfId="0" applyFont="1" applyFill="1" applyBorder="1" applyAlignment="1">
      <alignment horizontal="center" vertical="center" wrapText="1"/>
    </xf>
    <xf numFmtId="0" fontId="8" fillId="2" borderId="0" xfId="0" applyFont="1" applyFill="1" applyAlignment="1">
      <alignment horizontal="center" vertical="center" wrapText="1"/>
    </xf>
    <xf numFmtId="0" fontId="0" fillId="0" borderId="0" xfId="0" applyAlignment="1">
      <alignment horizontal="right" vertical="center" wrapText="1"/>
    </xf>
    <xf numFmtId="0" fontId="0" fillId="0" borderId="0" xfId="0" applyAlignment="1">
      <alignment horizontal="right" vertical="center"/>
    </xf>
    <xf numFmtId="0" fontId="0" fillId="6" borderId="0" xfId="0" applyFill="1" applyAlignment="1" quotePrefix="1">
      <alignment vertical="center"/>
    </xf>
    <xf numFmtId="0" fontId="0" fillId="6" borderId="0" xfId="0" applyFill="1" applyAlignment="1">
      <alignment vertical="center"/>
    </xf>
    <xf numFmtId="0" fontId="0" fillId="6" borderId="19"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14" fontId="0" fillId="6" borderId="22" xfId="0" applyNumberFormat="1" applyFill="1" applyBorder="1" applyAlignment="1">
      <alignment vertical="center"/>
    </xf>
    <xf numFmtId="14" fontId="0" fillId="6" borderId="23" xfId="0" applyNumberFormat="1" applyFill="1" applyBorder="1" applyAlignment="1">
      <alignment vertical="center"/>
    </xf>
    <xf numFmtId="0" fontId="0" fillId="0" borderId="0" xfId="0" applyNumberFormat="1" applyFont="1" applyAlignment="1">
      <alignment horizontal="center" vertical="center"/>
    </xf>
    <xf numFmtId="0" fontId="0" fillId="0" borderId="0" xfId="0" applyNumberFormat="1" applyFont="1" applyAlignment="1">
      <alignment horizontal="left" vertical="center"/>
    </xf>
    <xf numFmtId="0" fontId="11"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0" fontId="0" fillId="2" borderId="0" xfId="0" applyFill="1" applyBorder="1" applyAlignment="1">
      <alignment vertical="center"/>
    </xf>
    <xf numFmtId="0" fontId="0" fillId="7" borderId="24" xfId="0" applyFill="1" applyBorder="1" applyAlignment="1">
      <alignment horizontal="center" vertical="center"/>
    </xf>
    <xf numFmtId="0" fontId="0" fillId="7" borderId="25" xfId="0" applyFill="1" applyBorder="1" applyAlignment="1">
      <alignment horizontal="center" vertical="center"/>
    </xf>
    <xf numFmtId="0" fontId="0" fillId="7" borderId="26" xfId="0" applyFill="1" applyBorder="1" applyAlignment="1">
      <alignment horizontal="center" vertical="center"/>
    </xf>
    <xf numFmtId="0" fontId="0" fillId="8" borderId="27" xfId="0" applyFill="1" applyBorder="1" applyAlignment="1">
      <alignment vertical="center"/>
    </xf>
    <xf numFmtId="180" fontId="0" fillId="8" borderId="28" xfId="0" applyNumberFormat="1" applyFill="1" applyBorder="1" applyAlignment="1">
      <alignment vertical="center"/>
    </xf>
    <xf numFmtId="179" fontId="0" fillId="8" borderId="28" xfId="0" applyNumberFormat="1" applyFill="1" applyBorder="1" applyAlignment="1">
      <alignment vertical="center"/>
    </xf>
    <xf numFmtId="0" fontId="0" fillId="8" borderId="29" xfId="0" applyFill="1" applyBorder="1" applyAlignment="1">
      <alignment horizontal="center" vertical="center"/>
    </xf>
    <xf numFmtId="0" fontId="0" fillId="9" borderId="27" xfId="0" applyFill="1" applyBorder="1" applyAlignment="1">
      <alignment vertical="center"/>
    </xf>
    <xf numFmtId="180" fontId="0" fillId="9" borderId="28" xfId="0" applyNumberFormat="1" applyFill="1" applyBorder="1" applyAlignment="1">
      <alignment vertical="center"/>
    </xf>
    <xf numFmtId="179" fontId="0" fillId="9" borderId="28" xfId="0" applyNumberFormat="1" applyFill="1" applyBorder="1" applyAlignment="1">
      <alignment vertical="center"/>
    </xf>
    <xf numFmtId="0" fontId="0" fillId="9" borderId="29" xfId="0" applyFill="1" applyBorder="1" applyAlignment="1">
      <alignment horizontal="center" vertical="center"/>
    </xf>
    <xf numFmtId="0" fontId="0" fillId="9" borderId="30" xfId="0" applyFill="1" applyBorder="1" applyAlignment="1">
      <alignment vertical="center"/>
    </xf>
    <xf numFmtId="180" fontId="0" fillId="9" borderId="31" xfId="0" applyNumberFormat="1" applyFill="1" applyBorder="1" applyAlignment="1">
      <alignment vertical="center"/>
    </xf>
    <xf numFmtId="179" fontId="0" fillId="9" borderId="31" xfId="0" applyNumberFormat="1" applyFill="1" applyBorder="1" applyAlignment="1">
      <alignment vertical="center"/>
    </xf>
    <xf numFmtId="0" fontId="0" fillId="9" borderId="32" xfId="0" applyFill="1" applyBorder="1" applyAlignment="1">
      <alignment horizontal="center" vertical="center"/>
    </xf>
    <xf numFmtId="0" fontId="10" fillId="0" borderId="0" xfId="0" applyFont="1" applyAlignment="1">
      <alignment vertical="center"/>
    </xf>
    <xf numFmtId="0" fontId="10" fillId="0" borderId="0" xfId="0" applyFont="1" applyAlignment="1">
      <alignment vertical="center"/>
    </xf>
    <xf numFmtId="14" fontId="0" fillId="0" borderId="0" xfId="0" applyNumberFormat="1" applyAlignment="1">
      <alignment horizontal="center" vertical="center"/>
    </xf>
    <xf numFmtId="0" fontId="0" fillId="10" borderId="28" xfId="0" applyFill="1" applyBorder="1" applyAlignment="1">
      <alignment horizontal="center" vertical="center"/>
    </xf>
    <xf numFmtId="14" fontId="0" fillId="10" borderId="28" xfId="0" applyNumberFormat="1" applyFill="1" applyBorder="1" applyAlignment="1">
      <alignment vertical="center"/>
    </xf>
    <xf numFmtId="0" fontId="0" fillId="10" borderId="28" xfId="0" applyNumberFormat="1" applyFont="1" applyFill="1" applyBorder="1" applyAlignment="1">
      <alignment horizontal="center" vertical="center"/>
    </xf>
    <xf numFmtId="180" fontId="0" fillId="10" borderId="28" xfId="0" applyNumberFormat="1" applyFont="1" applyFill="1" applyBorder="1" applyAlignment="1">
      <alignment horizontal="right" vertical="center"/>
    </xf>
    <xf numFmtId="0" fontId="0" fillId="11" borderId="24" xfId="0" applyFill="1" applyBorder="1" applyAlignment="1">
      <alignment horizontal="center" vertical="center"/>
    </xf>
    <xf numFmtId="0" fontId="0" fillId="11" borderId="26" xfId="0" applyFill="1" applyBorder="1" applyAlignment="1">
      <alignment vertical="center"/>
    </xf>
    <xf numFmtId="14" fontId="0" fillId="6" borderId="27" xfId="0" applyNumberFormat="1" applyFill="1" applyBorder="1" applyAlignment="1">
      <alignment vertical="center"/>
    </xf>
    <xf numFmtId="14" fontId="0" fillId="6" borderId="30" xfId="0" applyNumberFormat="1" applyFill="1" applyBorder="1" applyAlignment="1">
      <alignment vertical="center"/>
    </xf>
    <xf numFmtId="179" fontId="0" fillId="0" borderId="0" xfId="0" applyNumberFormat="1" applyFill="1" applyBorder="1" applyAlignment="1">
      <alignment vertical="center"/>
    </xf>
    <xf numFmtId="0" fontId="0" fillId="8" borderId="33" xfId="0" applyFill="1" applyBorder="1" applyAlignment="1">
      <alignment horizontal="center" vertical="center"/>
    </xf>
    <xf numFmtId="0" fontId="0" fillId="8" borderId="34" xfId="0" applyFill="1" applyBorder="1" applyAlignment="1">
      <alignment horizontal="center" vertical="center"/>
    </xf>
    <xf numFmtId="0" fontId="0" fillId="8" borderId="35" xfId="0" applyFill="1" applyBorder="1" applyAlignment="1">
      <alignment vertical="center"/>
    </xf>
    <xf numFmtId="14" fontId="0" fillId="8" borderId="36" xfId="0" applyNumberFormat="1" applyFill="1" applyBorder="1" applyAlignment="1">
      <alignment vertical="center"/>
    </xf>
    <xf numFmtId="0" fontId="0" fillId="8" borderId="37" xfId="0" applyFill="1" applyBorder="1" applyAlignment="1">
      <alignment vertical="center"/>
    </xf>
    <xf numFmtId="14" fontId="0" fillId="8" borderId="38" xfId="0" applyNumberFormat="1" applyFill="1" applyBorder="1" applyAlignment="1">
      <alignment vertical="center"/>
    </xf>
    <xf numFmtId="0" fontId="0" fillId="8" borderId="39" xfId="0" applyFill="1" applyBorder="1" applyAlignment="1">
      <alignment vertical="center"/>
    </xf>
    <xf numFmtId="179" fontId="0" fillId="8" borderId="40" xfId="0" applyNumberFormat="1" applyFill="1" applyBorder="1" applyAlignment="1">
      <alignment horizontal="center" vertical="center"/>
    </xf>
    <xf numFmtId="179" fontId="0" fillId="8" borderId="41" xfId="0" applyNumberFormat="1" applyFill="1" applyBorder="1" applyAlignment="1">
      <alignment horizontal="center" vertical="center"/>
    </xf>
    <xf numFmtId="14" fontId="0" fillId="8" borderId="40" xfId="0" applyNumberFormat="1" applyFill="1" applyBorder="1" applyAlignment="1">
      <alignment horizontal="right" vertical="center"/>
    </xf>
    <xf numFmtId="14" fontId="0" fillId="8" borderId="41" xfId="0" applyNumberFormat="1" applyFill="1" applyBorder="1" applyAlignment="1">
      <alignment horizontal="right" vertical="center"/>
    </xf>
    <xf numFmtId="0" fontId="0" fillId="2" borderId="42" xfId="0" applyFill="1" applyBorder="1" applyAlignment="1">
      <alignment horizontal="center" vertical="center"/>
    </xf>
    <xf numFmtId="0" fontId="0" fillId="2" borderId="42" xfId="0" applyFill="1" applyBorder="1" applyAlignment="1">
      <alignment vertical="center"/>
    </xf>
    <xf numFmtId="14" fontId="0" fillId="0" borderId="0" xfId="0" applyNumberFormat="1" applyAlignment="1" quotePrefix="1">
      <alignment horizontal="center" vertical="center"/>
    </xf>
    <xf numFmtId="0" fontId="0" fillId="6" borderId="24" xfId="0" applyFill="1" applyBorder="1" applyAlignment="1">
      <alignment horizontal="center" vertical="center"/>
    </xf>
    <xf numFmtId="14" fontId="0" fillId="6" borderId="27" xfId="0" applyNumberFormat="1" applyFill="1" applyBorder="1" applyAlignment="1" quotePrefix="1">
      <alignment horizontal="center" vertical="center"/>
    </xf>
    <xf numFmtId="0" fontId="0" fillId="6" borderId="28" xfId="0" applyFill="1" applyBorder="1" applyAlignment="1" quotePrefix="1">
      <alignment vertical="center"/>
    </xf>
    <xf numFmtId="14" fontId="0" fillId="6" borderId="30" xfId="0" applyNumberFormat="1" applyFill="1" applyBorder="1" applyAlignment="1" quotePrefix="1">
      <alignment horizontal="center" vertical="center"/>
    </xf>
    <xf numFmtId="14" fontId="10" fillId="0" borderId="0" xfId="0" applyNumberFormat="1" applyFont="1" applyAlignment="1">
      <alignment horizontal="left" vertical="center"/>
    </xf>
    <xf numFmtId="14" fontId="0" fillId="6" borderId="43" xfId="0" applyNumberFormat="1" applyFill="1" applyBorder="1" applyAlignment="1" quotePrefix="1">
      <alignment horizontal="center" vertical="center"/>
    </xf>
    <xf numFmtId="0" fontId="0" fillId="6" borderId="27" xfId="0" applyFill="1" applyBorder="1" applyAlignment="1">
      <alignment horizontal="center" vertical="center"/>
    </xf>
    <xf numFmtId="0" fontId="0" fillId="6" borderId="28" xfId="0" applyFill="1" applyBorder="1" applyAlignment="1">
      <alignment vertical="center" wrapText="1"/>
    </xf>
    <xf numFmtId="0" fontId="0" fillId="6" borderId="29" xfId="0" applyFill="1" applyBorder="1" applyAlignment="1">
      <alignment vertical="center" wrapText="1"/>
    </xf>
    <xf numFmtId="0" fontId="0" fillId="6" borderId="44" xfId="0" applyFill="1" applyBorder="1" applyAlignment="1">
      <alignment vertical="center"/>
    </xf>
    <xf numFmtId="0" fontId="0" fillId="6" borderId="45" xfId="0" applyFill="1" applyBorder="1" applyAlignment="1">
      <alignment vertical="center"/>
    </xf>
    <xf numFmtId="0" fontId="6" fillId="0" borderId="0" xfId="0" applyFont="1" applyAlignment="1">
      <alignment vertical="center"/>
    </xf>
    <xf numFmtId="0" fontId="8" fillId="0" borderId="0" xfId="0" applyFont="1" applyAlignment="1">
      <alignment vertical="center"/>
    </xf>
    <xf numFmtId="0" fontId="0" fillId="0" borderId="0" xfId="0" applyFill="1" applyAlignment="1">
      <alignment vertical="center"/>
    </xf>
    <xf numFmtId="31" fontId="0" fillId="0" borderId="0" xfId="0" applyNumberFormat="1" applyFill="1" applyAlignment="1">
      <alignment vertical="center"/>
    </xf>
    <xf numFmtId="0" fontId="0" fillId="0" borderId="0" xfId="0" applyFill="1" applyAlignment="1" quotePrefix="1">
      <alignment vertical="center"/>
    </xf>
    <xf numFmtId="14" fontId="0" fillId="0" borderId="0" xfId="0" applyNumberFormat="1" applyFill="1" applyAlignment="1">
      <alignment vertical="center"/>
    </xf>
    <xf numFmtId="0" fontId="0" fillId="6" borderId="0" xfId="0" applyFill="1" applyAlignment="1" quotePrefix="1">
      <alignment vertical="center" shrinkToFit="1"/>
    </xf>
    <xf numFmtId="0" fontId="11" fillId="2" borderId="0" xfId="0" applyFont="1" applyFill="1" applyAlignment="1">
      <alignment vertical="center"/>
    </xf>
    <xf numFmtId="14" fontId="0" fillId="0" borderId="0" xfId="0" applyNumberFormat="1" applyFill="1" applyAlignment="1" quotePrefix="1">
      <alignment vertical="center" wrapText="1"/>
    </xf>
    <xf numFmtId="0" fontId="0" fillId="0" borderId="0" xfId="0" applyNumberFormat="1" applyFill="1" applyAlignment="1" quotePrefix="1">
      <alignment vertical="center" wrapText="1"/>
    </xf>
    <xf numFmtId="0" fontId="10" fillId="0" borderId="0" xfId="0" applyFont="1" applyFill="1" applyAlignment="1">
      <alignment vertical="center" wrapText="1"/>
    </xf>
    <xf numFmtId="0" fontId="10" fillId="0" borderId="0" xfId="0" applyFont="1" applyFill="1" applyAlignment="1">
      <alignment vertical="center"/>
    </xf>
    <xf numFmtId="0" fontId="0" fillId="10" borderId="0" xfId="0" applyFill="1" applyAlignment="1">
      <alignment horizontal="center" vertical="center" wrapText="1"/>
    </xf>
    <xf numFmtId="0" fontId="0" fillId="6" borderId="0" xfId="0" applyFill="1" applyAlignment="1" quotePrefix="1">
      <alignment vertical="center" wrapText="1"/>
    </xf>
    <xf numFmtId="14" fontId="0" fillId="8" borderId="0" xfId="0" applyNumberFormat="1" applyFill="1" applyAlignment="1">
      <alignment vertical="center" wrapText="1"/>
    </xf>
    <xf numFmtId="14" fontId="0" fillId="8" borderId="0" xfId="0" applyNumberFormat="1" applyFill="1" applyAlignment="1">
      <alignment vertical="center"/>
    </xf>
    <xf numFmtId="0" fontId="0" fillId="8" borderId="0" xfId="0" applyFill="1" applyAlignment="1" quotePrefix="1">
      <alignment vertical="center"/>
    </xf>
    <xf numFmtId="0" fontId="0" fillId="8" borderId="0" xfId="0" applyFill="1" applyAlignment="1">
      <alignment vertical="center"/>
    </xf>
    <xf numFmtId="0" fontId="0" fillId="8" borderId="0" xfId="0" applyFill="1" applyAlignment="1">
      <alignment horizontal="center" vertical="center"/>
    </xf>
    <xf numFmtId="0" fontId="0" fillId="6" borderId="0" xfId="0" applyFont="1" applyFill="1" applyBorder="1" applyAlignment="1">
      <alignment horizontal="center" vertical="top" wrapText="1"/>
    </xf>
    <xf numFmtId="0" fontId="0" fillId="8" borderId="46" xfId="0" applyFill="1" applyBorder="1" applyAlignment="1">
      <alignment horizontal="right" vertical="center"/>
    </xf>
    <xf numFmtId="0" fontId="0" fillId="8" borderId="29" xfId="0" applyFill="1" applyBorder="1" applyAlignment="1">
      <alignment horizontal="left" vertical="center"/>
    </xf>
    <xf numFmtId="0" fontId="0" fillId="8" borderId="32" xfId="0" applyFill="1" applyBorder="1" applyAlignment="1">
      <alignment horizontal="left" vertical="center"/>
    </xf>
    <xf numFmtId="0" fontId="0" fillId="8" borderId="26" xfId="0" applyFill="1" applyBorder="1" applyAlignment="1">
      <alignment horizontal="center" vertical="center"/>
    </xf>
    <xf numFmtId="0" fontId="0" fillId="8" borderId="29" xfId="0" applyFill="1" applyBorder="1" applyAlignment="1" quotePrefix="1">
      <alignment vertical="center"/>
    </xf>
    <xf numFmtId="14" fontId="0" fillId="8" borderId="29" xfId="0" applyNumberFormat="1" applyFill="1" applyBorder="1" applyAlignment="1" quotePrefix="1">
      <alignment vertical="center"/>
    </xf>
    <xf numFmtId="0" fontId="0" fillId="8" borderId="32" xfId="0" applyFill="1" applyBorder="1" applyAlignment="1" quotePrefix="1">
      <alignment vertical="center"/>
    </xf>
    <xf numFmtId="0" fontId="0" fillId="8" borderId="30" xfId="0" applyFill="1" applyBorder="1" applyAlignment="1">
      <alignment horizontal="center" vertical="center"/>
    </xf>
    <xf numFmtId="0" fontId="0" fillId="8" borderId="31" xfId="0" applyFill="1" applyBorder="1" applyAlignment="1" quotePrefix="1">
      <alignment vertical="center"/>
    </xf>
    <xf numFmtId="0" fontId="0" fillId="8" borderId="31" xfId="0" applyFill="1" applyBorder="1" applyAlignment="1">
      <alignment vertical="center" wrapText="1"/>
    </xf>
    <xf numFmtId="0" fontId="0" fillId="8" borderId="32" xfId="0" applyFill="1" applyBorder="1" applyAlignment="1">
      <alignment vertical="center" wrapText="1"/>
    </xf>
    <xf numFmtId="0" fontId="0" fillId="8" borderId="0" xfId="0" applyFill="1" applyAlignment="1">
      <alignment horizontal="center" vertical="center" wrapText="1"/>
    </xf>
    <xf numFmtId="0" fontId="0" fillId="6" borderId="0" xfId="0" applyFill="1" applyAlignment="1">
      <alignment horizontal="center" vertical="center"/>
    </xf>
    <xf numFmtId="14" fontId="0" fillId="8" borderId="0" xfId="0" applyNumberFormat="1" applyFill="1" applyAlignment="1" quotePrefix="1">
      <alignment vertical="center" wrapText="1"/>
    </xf>
    <xf numFmtId="0" fontId="0" fillId="8" borderId="0" xfId="0" applyNumberFormat="1" applyFill="1" applyAlignment="1" quotePrefix="1">
      <alignment vertical="center" wrapText="1"/>
    </xf>
    <xf numFmtId="0" fontId="0" fillId="8" borderId="0" xfId="0" applyFill="1" applyAlignment="1" quotePrefix="1">
      <alignment vertical="center" wrapText="1"/>
    </xf>
    <xf numFmtId="0" fontId="0" fillId="8" borderId="0" xfId="0" applyFill="1" applyAlignment="1">
      <alignment vertical="center" wrapText="1"/>
    </xf>
    <xf numFmtId="14" fontId="0" fillId="6" borderId="0" xfId="0" applyNumberFormat="1" applyFill="1" applyAlignment="1" quotePrefix="1">
      <alignment vertical="center" wrapText="1"/>
    </xf>
    <xf numFmtId="0" fontId="0" fillId="10" borderId="0" xfId="0" applyFill="1" applyAlignment="1">
      <alignment vertical="center" wrapText="1"/>
    </xf>
    <xf numFmtId="22" fontId="0" fillId="0" borderId="0" xfId="0" applyNumberFormat="1" applyAlignment="1">
      <alignment vertical="center"/>
    </xf>
    <xf numFmtId="0" fontId="0" fillId="0" borderId="0" xfId="0" applyNumberFormat="1" applyFill="1" applyAlignment="1">
      <alignment vertical="center" wrapText="1"/>
    </xf>
    <xf numFmtId="0" fontId="0" fillId="0" borderId="0" xfId="0" applyNumberFormat="1" applyFill="1" applyAlignment="1">
      <alignment vertical="center"/>
    </xf>
    <xf numFmtId="0" fontId="0" fillId="0" borderId="0" xfId="0" applyNumberFormat="1" applyAlignment="1">
      <alignment vertical="center"/>
    </xf>
    <xf numFmtId="0" fontId="0" fillId="10" borderId="0" xfId="0" applyNumberFormat="1" applyFill="1" applyAlignment="1">
      <alignment vertical="center" wrapText="1"/>
    </xf>
    <xf numFmtId="22" fontId="0" fillId="8" borderId="0" xfId="0" applyNumberFormat="1" applyFill="1" applyAlignment="1" quotePrefix="1">
      <alignment vertical="center" wrapText="1"/>
    </xf>
    <xf numFmtId="0" fontId="0" fillId="8" borderId="0" xfId="17" applyNumberFormat="1" applyFill="1" applyAlignment="1" quotePrefix="1">
      <alignment vertical="center" wrapText="1"/>
    </xf>
    <xf numFmtId="0" fontId="0" fillId="6" borderId="0" xfId="0" applyNumberFormat="1" applyFill="1" applyAlignment="1" quotePrefix="1">
      <alignment vertical="center" wrapText="1"/>
    </xf>
    <xf numFmtId="0" fontId="10" fillId="0" borderId="0" xfId="0" applyFont="1" applyFill="1" applyAlignment="1">
      <alignment vertical="center"/>
    </xf>
    <xf numFmtId="14" fontId="0" fillId="9" borderId="0" xfId="0" applyNumberFormat="1" applyFont="1" applyFill="1" applyAlignment="1">
      <alignment vertical="center"/>
    </xf>
    <xf numFmtId="0" fontId="0" fillId="9" borderId="0" xfId="0" applyFont="1" applyFill="1" applyAlignment="1">
      <alignment horizontal="center" vertical="center"/>
    </xf>
    <xf numFmtId="14" fontId="0" fillId="6" borderId="0" xfId="0" applyNumberFormat="1" applyFill="1" applyAlignment="1" quotePrefix="1">
      <alignment vertical="center"/>
    </xf>
    <xf numFmtId="14" fontId="0" fillId="6" borderId="0" xfId="0" applyNumberFormat="1" applyFill="1" applyAlignment="1">
      <alignment vertical="center"/>
    </xf>
    <xf numFmtId="0" fontId="15" fillId="0" borderId="0" xfId="0" applyFont="1" applyAlignment="1">
      <alignment vertical="center"/>
    </xf>
    <xf numFmtId="22" fontId="0" fillId="0" borderId="0" xfId="0" applyNumberFormat="1" applyFill="1" applyAlignment="1">
      <alignment vertical="center"/>
    </xf>
    <xf numFmtId="0" fontId="0" fillId="10" borderId="0" xfId="0" applyNumberFormat="1" applyFill="1" applyAlignment="1">
      <alignment vertical="center"/>
    </xf>
    <xf numFmtId="22" fontId="0" fillId="9" borderId="0" xfId="0" applyNumberFormat="1" applyFont="1" applyFill="1" applyAlignment="1">
      <alignment vertical="center"/>
    </xf>
    <xf numFmtId="22" fontId="0" fillId="8" borderId="0" xfId="0" applyNumberFormat="1" applyFill="1" applyAlignment="1" quotePrefix="1">
      <alignment vertical="center"/>
    </xf>
    <xf numFmtId="0" fontId="0" fillId="8" borderId="0" xfId="0" applyNumberFormat="1" applyFill="1" applyAlignment="1">
      <alignment horizontal="left" vertical="center"/>
    </xf>
    <xf numFmtId="0" fontId="0" fillId="8" borderId="0" xfId="0" applyFill="1" applyAlignment="1" quotePrefix="1">
      <alignment horizontal="left" vertical="center" wrapText="1"/>
    </xf>
    <xf numFmtId="0" fontId="0" fillId="10" borderId="0" xfId="0" applyFill="1" applyAlignment="1">
      <alignment vertical="center"/>
    </xf>
    <xf numFmtId="0" fontId="0" fillId="0" borderId="0" xfId="0" applyFill="1" applyAlignment="1" quotePrefix="1">
      <alignment horizontal="left" vertical="center" wrapText="1"/>
    </xf>
    <xf numFmtId="0" fontId="0" fillId="8" borderId="0" xfId="0" applyFont="1" applyFill="1" applyAlignment="1" quotePrefix="1">
      <alignment vertical="center" wrapText="1"/>
    </xf>
    <xf numFmtId="0" fontId="0" fillId="0" borderId="0" xfId="0" applyFont="1" applyFill="1" applyAlignment="1" quotePrefix="1">
      <alignment vertical="center" wrapText="1"/>
    </xf>
    <xf numFmtId="0" fontId="0" fillId="10" borderId="0" xfId="0" applyFill="1" applyAlignment="1">
      <alignment vertical="center" shrinkToFit="1"/>
    </xf>
    <xf numFmtId="0" fontId="12" fillId="0" borderId="0" xfId="0" applyFont="1" applyAlignment="1">
      <alignment horizontal="right" vertical="center"/>
    </xf>
    <xf numFmtId="0" fontId="0" fillId="0" borderId="0" xfId="0" applyFill="1" applyAlignment="1">
      <alignment vertical="center" shrinkToFit="1"/>
    </xf>
    <xf numFmtId="0" fontId="3" fillId="0" borderId="0" xfId="16" applyFont="1" applyAlignment="1">
      <alignment vertical="center"/>
    </xf>
    <xf numFmtId="0" fontId="0" fillId="10" borderId="0" xfId="0" applyFill="1" applyAlignment="1">
      <alignment horizontal="left" vertical="center" wrapText="1"/>
    </xf>
    <xf numFmtId="0" fontId="0" fillId="2" borderId="47" xfId="0" applyFill="1" applyBorder="1" applyAlignment="1">
      <alignment horizontal="left" vertical="center" wrapText="1"/>
    </xf>
    <xf numFmtId="0" fontId="0" fillId="2" borderId="48" xfId="0" applyFill="1" applyBorder="1" applyAlignment="1">
      <alignment horizontal="left" vertical="center" wrapText="1"/>
    </xf>
    <xf numFmtId="0" fontId="0" fillId="8" borderId="0" xfId="0" applyFill="1" applyAlignment="1">
      <alignment horizontal="left" vertical="center" wrapText="1"/>
    </xf>
    <xf numFmtId="0" fontId="0" fillId="8" borderId="0" xfId="0" applyNumberFormat="1" applyFill="1" applyAlignment="1" quotePrefix="1">
      <alignment horizontal="left" vertical="center"/>
    </xf>
    <xf numFmtId="0" fontId="0" fillId="12" borderId="49" xfId="0" applyFill="1" applyBorder="1" applyAlignment="1">
      <alignment horizontal="center" vertical="center"/>
    </xf>
    <xf numFmtId="0" fontId="0" fillId="12" borderId="50" xfId="0" applyFill="1" applyBorder="1" applyAlignment="1">
      <alignment horizontal="center" vertical="center"/>
    </xf>
    <xf numFmtId="14" fontId="0" fillId="0" borderId="51" xfId="0" applyNumberFormat="1" applyBorder="1" applyAlignment="1">
      <alignment vertical="center"/>
    </xf>
    <xf numFmtId="0" fontId="0" fillId="5" borderId="52" xfId="0" applyFill="1" applyBorder="1" applyAlignment="1">
      <alignment horizontal="center" vertical="center"/>
    </xf>
    <xf numFmtId="0" fontId="0" fillId="5" borderId="53" xfId="0" applyFill="1" applyBorder="1" applyAlignment="1">
      <alignment horizontal="center" vertical="center"/>
    </xf>
    <xf numFmtId="0" fontId="0" fillId="3" borderId="54" xfId="0" applyFill="1" applyBorder="1" applyAlignment="1">
      <alignment vertical="center"/>
    </xf>
    <xf numFmtId="0" fontId="0" fillId="3" borderId="55" xfId="0" applyFill="1" applyBorder="1" applyAlignment="1">
      <alignment vertical="center"/>
    </xf>
    <xf numFmtId="0" fontId="0" fillId="3" borderId="56" xfId="0" applyFill="1" applyBorder="1" applyAlignment="1">
      <alignment vertical="center"/>
    </xf>
    <xf numFmtId="0" fontId="0" fillId="3" borderId="57"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wrapText="1"/>
    </xf>
    <xf numFmtId="0" fontId="0" fillId="0" borderId="58" xfId="0" applyFill="1" applyBorder="1" applyAlignment="1">
      <alignment horizontal="center" vertical="center"/>
    </xf>
    <xf numFmtId="0" fontId="0" fillId="4" borderId="0" xfId="0" applyFill="1" applyBorder="1" applyAlignment="1">
      <alignment vertical="center"/>
    </xf>
    <xf numFmtId="18" fontId="0" fillId="8" borderId="0" xfId="0" applyNumberFormat="1" applyFill="1" applyAlignment="1">
      <alignment vertical="center" wrapText="1"/>
    </xf>
    <xf numFmtId="185" fontId="0" fillId="8" borderId="0" xfId="0" applyNumberFormat="1" applyFill="1" applyAlignment="1">
      <alignment vertical="center" wrapText="1"/>
    </xf>
    <xf numFmtId="186" fontId="0" fillId="8" borderId="0" xfId="0" applyNumberFormat="1" applyFill="1" applyAlignment="1">
      <alignment vertical="center" wrapText="1"/>
    </xf>
    <xf numFmtId="19" fontId="0" fillId="4" borderId="8" xfId="0" applyNumberFormat="1" applyFill="1" applyBorder="1" applyAlignment="1">
      <alignment vertical="center"/>
    </xf>
    <xf numFmtId="0" fontId="0" fillId="4" borderId="9" xfId="0" applyNumberFormat="1" applyFill="1" applyBorder="1" applyAlignment="1">
      <alignment horizontal="center" vertical="center"/>
    </xf>
    <xf numFmtId="185" fontId="0" fillId="0" borderId="0" xfId="0" applyNumberFormat="1" applyFill="1" applyAlignment="1">
      <alignment vertical="center" wrapText="1"/>
    </xf>
    <xf numFmtId="185" fontId="0" fillId="8" borderId="0" xfId="0" applyNumberFormat="1" applyFill="1" applyAlignment="1">
      <alignment vertical="center"/>
    </xf>
    <xf numFmtId="0" fontId="0" fillId="0" borderId="59" xfId="0" applyFill="1" applyBorder="1" applyAlignment="1">
      <alignment vertical="center"/>
    </xf>
    <xf numFmtId="21" fontId="0" fillId="0" borderId="0" xfId="0" applyNumberFormat="1" applyAlignment="1">
      <alignment vertical="center"/>
    </xf>
    <xf numFmtId="0" fontId="0" fillId="0" borderId="0" xfId="0" applyFill="1" applyBorder="1" applyAlignment="1">
      <alignment horizontal="center" vertical="center"/>
    </xf>
    <xf numFmtId="0" fontId="0" fillId="0" borderId="0" xfId="0" applyFill="1" applyBorder="1" applyAlignment="1" quotePrefix="1">
      <alignment horizontal="center" vertical="center"/>
    </xf>
    <xf numFmtId="0" fontId="0" fillId="9" borderId="60" xfId="0" applyFill="1" applyBorder="1" applyAlignment="1">
      <alignment horizontal="center" vertical="center"/>
    </xf>
    <xf numFmtId="21" fontId="0" fillId="9" borderId="61" xfId="0" applyNumberFormat="1" applyFill="1" applyBorder="1" applyAlignment="1">
      <alignment vertical="center"/>
    </xf>
    <xf numFmtId="0" fontId="0" fillId="6" borderId="0" xfId="0" applyFill="1" applyBorder="1" applyAlignment="1" quotePrefix="1">
      <alignment horizontal="center" vertical="center"/>
    </xf>
    <xf numFmtId="21" fontId="0" fillId="8" borderId="0" xfId="0" applyNumberFormat="1" applyFill="1" applyAlignment="1">
      <alignment vertical="center"/>
    </xf>
    <xf numFmtId="188" fontId="0" fillId="9" borderId="28" xfId="0" applyNumberFormat="1" applyFill="1" applyBorder="1" applyAlignment="1">
      <alignment vertical="top" wrapText="1"/>
    </xf>
    <xf numFmtId="0" fontId="5" fillId="11" borderId="28" xfId="0" applyFont="1" applyFill="1" applyBorder="1" applyAlignment="1">
      <alignment horizontal="center" wrapText="1"/>
    </xf>
    <xf numFmtId="188" fontId="0" fillId="0" borderId="0" xfId="0" applyNumberFormat="1" applyAlignment="1">
      <alignment vertical="center"/>
    </xf>
    <xf numFmtId="0" fontId="0" fillId="0" borderId="62" xfId="0" applyBorder="1" applyAlignment="1">
      <alignment vertical="center"/>
    </xf>
    <xf numFmtId="0" fontId="0" fillId="0" borderId="0" xfId="0" applyBorder="1" applyAlignment="1">
      <alignment vertical="center"/>
    </xf>
    <xf numFmtId="0" fontId="0" fillId="0" borderId="63" xfId="0" applyBorder="1" applyAlignment="1">
      <alignment vertical="center"/>
    </xf>
    <xf numFmtId="0" fontId="0" fillId="0" borderId="64" xfId="0" applyNumberFormat="1" applyBorder="1" applyAlignment="1">
      <alignment horizontal="center" vertical="center"/>
    </xf>
    <xf numFmtId="14" fontId="0" fillId="0" borderId="65" xfId="0" applyNumberFormat="1" applyBorder="1" applyAlignment="1">
      <alignment vertical="center" textRotation="45"/>
    </xf>
    <xf numFmtId="0" fontId="0" fillId="0" borderId="64" xfId="0" applyBorder="1" applyAlignment="1">
      <alignment horizontal="center" vertical="center"/>
    </xf>
    <xf numFmtId="20" fontId="0" fillId="0" borderId="65" xfId="0" applyNumberFormat="1" applyBorder="1" applyAlignment="1">
      <alignment vertical="center" textRotation="45"/>
    </xf>
    <xf numFmtId="190" fontId="0" fillId="0" borderId="65" xfId="0" applyNumberFormat="1" applyBorder="1" applyAlignment="1">
      <alignment vertical="center" textRotation="45"/>
    </xf>
    <xf numFmtId="0" fontId="0" fillId="3" borderId="66" xfId="0" applyFill="1" applyBorder="1" applyAlignment="1">
      <alignment horizontal="center" vertical="center"/>
    </xf>
    <xf numFmtId="0" fontId="0" fillId="3" borderId="67" xfId="0" applyFill="1" applyBorder="1" applyAlignment="1">
      <alignment horizontal="center" vertical="center"/>
    </xf>
    <xf numFmtId="14" fontId="0" fillId="4" borderId="68" xfId="0" applyNumberFormat="1" applyFill="1" applyBorder="1" applyAlignment="1">
      <alignment vertical="center" textRotation="45"/>
    </xf>
    <xf numFmtId="0" fontId="0" fillId="4" borderId="68" xfId="0" applyFill="1" applyBorder="1" applyAlignment="1">
      <alignment vertical="center"/>
    </xf>
    <xf numFmtId="0" fontId="0" fillId="4" borderId="69" xfId="0" applyFill="1" applyBorder="1" applyAlignment="1">
      <alignment vertical="center"/>
    </xf>
    <xf numFmtId="0" fontId="0" fillId="0" borderId="65" xfId="0" applyBorder="1" applyAlignment="1">
      <alignment horizontal="right" vertical="center"/>
    </xf>
    <xf numFmtId="0" fontId="12" fillId="0" borderId="0" xfId="0" applyFont="1" applyAlignment="1">
      <alignment vertical="center"/>
    </xf>
    <xf numFmtId="0" fontId="0" fillId="0" borderId="0" xfId="0" applyFont="1" applyAlignment="1">
      <alignment horizontal="center" vertical="center"/>
    </xf>
    <xf numFmtId="0" fontId="11" fillId="13" borderId="0" xfId="0" applyFont="1" applyFill="1" applyAlignment="1">
      <alignment horizontal="center" vertical="center"/>
    </xf>
    <xf numFmtId="0" fontId="0" fillId="2" borderId="0" xfId="0" applyFill="1" applyBorder="1" applyAlignment="1">
      <alignment horizontal="center" vertical="center"/>
    </xf>
    <xf numFmtId="0" fontId="0" fillId="10" borderId="0" xfId="0" applyFill="1" applyAlignment="1">
      <alignment horizontal="center" vertical="center"/>
    </xf>
    <xf numFmtId="0" fontId="0" fillId="10" borderId="0" xfId="0" applyNumberFormat="1" applyFill="1" applyAlignment="1">
      <alignment vertical="center"/>
    </xf>
    <xf numFmtId="191" fontId="0" fillId="8" borderId="0" xfId="0" applyNumberFormat="1" applyFill="1" applyAlignment="1" quotePrefix="1">
      <alignment vertical="center" wrapText="1"/>
    </xf>
    <xf numFmtId="192" fontId="0" fillId="8" borderId="0" xfId="17" applyNumberFormat="1" applyFill="1" applyAlignment="1" quotePrefix="1">
      <alignment vertical="center" wrapText="1"/>
    </xf>
    <xf numFmtId="14" fontId="0" fillId="11" borderId="28" xfId="0" applyNumberFormat="1" applyFill="1" applyBorder="1" applyAlignment="1">
      <alignment vertical="center"/>
    </xf>
    <xf numFmtId="0" fontId="0" fillId="8" borderId="0" xfId="0" applyNumberFormat="1" applyFill="1" applyAlignment="1">
      <alignment vertical="center"/>
    </xf>
    <xf numFmtId="0" fontId="0" fillId="0" borderId="0" xfId="17" applyNumberFormat="1" applyFill="1" applyAlignment="1" quotePrefix="1">
      <alignment vertical="center" wrapText="1"/>
    </xf>
    <xf numFmtId="186" fontId="0" fillId="8" borderId="0" xfId="0" applyNumberFormat="1" applyFill="1" applyAlignment="1" quotePrefix="1">
      <alignment vertical="center" wrapText="1"/>
    </xf>
    <xf numFmtId="192" fontId="0" fillId="8" borderId="0" xfId="0" applyNumberFormat="1" applyFill="1" applyAlignment="1" quotePrefix="1">
      <alignment vertical="center" wrapText="1"/>
    </xf>
    <xf numFmtId="185" fontId="0" fillId="11" borderId="28" xfId="0" applyNumberFormat="1" applyFill="1" applyBorder="1" applyAlignment="1">
      <alignment vertical="center"/>
    </xf>
    <xf numFmtId="14" fontId="0" fillId="11" borderId="28" xfId="0" applyNumberFormat="1" applyFill="1" applyBorder="1" applyAlignment="1" quotePrefix="1">
      <alignment vertical="center"/>
    </xf>
    <xf numFmtId="0" fontId="0" fillId="11" borderId="28" xfId="0" applyFill="1" applyBorder="1" applyAlignment="1">
      <alignment horizontal="center" vertical="center" wrapText="1"/>
    </xf>
    <xf numFmtId="0" fontId="12" fillId="0" borderId="0" xfId="0" applyFont="1" applyAlignment="1" quotePrefix="1">
      <alignment horizontal="center" vertical="center"/>
    </xf>
    <xf numFmtId="22" fontId="0" fillId="8" borderId="0" xfId="0" applyNumberFormat="1" applyFill="1" applyAlignment="1">
      <alignment horizontal="center" vertical="center"/>
    </xf>
    <xf numFmtId="22" fontId="0" fillId="6" borderId="0" xfId="0" applyNumberFormat="1" applyFill="1" applyAlignment="1" quotePrefix="1">
      <alignment horizontal="center" vertical="center"/>
    </xf>
    <xf numFmtId="0" fontId="0" fillId="6" borderId="0" xfId="0" applyFill="1" applyAlignment="1" quotePrefix="1">
      <alignment horizontal="center" vertical="center"/>
    </xf>
    <xf numFmtId="179" fontId="0" fillId="6" borderId="0" xfId="0" applyNumberFormat="1" applyFill="1" applyAlignment="1" quotePrefix="1">
      <alignment horizontal="center" vertical="center" wrapText="1"/>
    </xf>
    <xf numFmtId="179" fontId="0" fillId="8" borderId="0" xfId="0" applyNumberFormat="1" applyFill="1" applyAlignment="1">
      <alignment horizontal="center" vertical="center" wrapText="1"/>
    </xf>
    <xf numFmtId="0" fontId="10" fillId="0" borderId="0" xfId="0" applyFont="1" applyFill="1" applyAlignment="1">
      <alignment horizontal="left" vertical="center"/>
    </xf>
    <xf numFmtId="22" fontId="0" fillId="6" borderId="0" xfId="0" applyNumberFormat="1" applyFill="1" applyAlignment="1" quotePrefix="1">
      <alignment horizontal="left" vertical="center" shrinkToFit="1"/>
    </xf>
    <xf numFmtId="179" fontId="0" fillId="6" borderId="0" xfId="0" applyNumberFormat="1" applyFill="1" applyAlignment="1" quotePrefix="1">
      <alignment horizontal="center" vertical="center" shrinkToFit="1"/>
    </xf>
    <xf numFmtId="0" fontId="0" fillId="8" borderId="0" xfId="0" applyFill="1" applyAlignment="1">
      <alignment horizontal="right" vertical="center" wrapText="1"/>
    </xf>
    <xf numFmtId="179" fontId="0" fillId="6" borderId="0" xfId="0" applyNumberFormat="1" applyFill="1" applyAlignment="1" quotePrefix="1">
      <alignment horizontal="left" vertical="center" shrinkToFit="1"/>
    </xf>
    <xf numFmtId="0" fontId="0" fillId="6" borderId="0" xfId="0" applyFill="1" applyAlignment="1" quotePrefix="1">
      <alignment horizontal="left" vertical="center"/>
    </xf>
    <xf numFmtId="0" fontId="0" fillId="10" borderId="0" xfId="0" applyNumberFormat="1" applyFill="1" applyAlignment="1">
      <alignment vertical="center" shrinkToFit="1"/>
    </xf>
    <xf numFmtId="14" fontId="0" fillId="8" borderId="0" xfId="0" applyNumberFormat="1" applyFill="1" applyAlignment="1">
      <alignment horizontal="center" vertical="center"/>
    </xf>
    <xf numFmtId="14" fontId="0" fillId="6" borderId="0" xfId="0" applyNumberFormat="1" applyFill="1" applyAlignment="1" quotePrefix="1">
      <alignment horizontal="center" vertical="center"/>
    </xf>
    <xf numFmtId="0" fontId="0" fillId="11" borderId="28" xfId="0" applyFill="1" applyBorder="1" applyAlignment="1">
      <alignment horizontal="center" vertical="center"/>
    </xf>
    <xf numFmtId="14" fontId="0" fillId="11" borderId="28" xfId="0" applyNumberFormat="1" applyFill="1" applyBorder="1" applyAlignment="1">
      <alignment horizontal="center" vertical="center"/>
    </xf>
    <xf numFmtId="31" fontId="10" fillId="0" borderId="0" xfId="0" applyNumberFormat="1" applyFont="1" applyFill="1" applyAlignment="1">
      <alignment vertical="center"/>
    </xf>
    <xf numFmtId="0" fontId="3" fillId="0" borderId="0" xfId="16" applyAlignment="1">
      <alignment vertical="center"/>
    </xf>
    <xf numFmtId="0" fontId="0" fillId="4" borderId="0" xfId="0" applyFont="1" applyFill="1" applyBorder="1" applyAlignment="1">
      <alignment horizontal="center" vertical="center"/>
    </xf>
    <xf numFmtId="0" fontId="12" fillId="0" borderId="0" xfId="0" applyFont="1" applyAlignment="1">
      <alignment horizontal="center" vertical="center"/>
    </xf>
    <xf numFmtId="0" fontId="0" fillId="0" borderId="70" xfId="0" applyBorder="1" applyAlignment="1">
      <alignment vertical="center"/>
    </xf>
    <xf numFmtId="0" fontId="12" fillId="0" borderId="70" xfId="0" applyFont="1" applyFill="1" applyBorder="1" applyAlignment="1">
      <alignment horizontal="center" vertical="center"/>
    </xf>
    <xf numFmtId="0" fontId="0" fillId="0" borderId="70" xfId="0" applyBorder="1" applyAlignment="1">
      <alignment horizontal="center" vertical="center"/>
    </xf>
    <xf numFmtId="0" fontId="12" fillId="0" borderId="70" xfId="0" applyFont="1" applyBorder="1" applyAlignment="1">
      <alignment horizontal="center" vertical="center"/>
    </xf>
    <xf numFmtId="0" fontId="0" fillId="0" borderId="70" xfId="0" applyFont="1" applyBorder="1" applyAlignment="1">
      <alignment horizontal="center" vertical="center"/>
    </xf>
    <xf numFmtId="0" fontId="0" fillId="0" borderId="71" xfId="0" applyBorder="1" applyAlignment="1">
      <alignment vertical="center"/>
    </xf>
    <xf numFmtId="0" fontId="12" fillId="0" borderId="72" xfId="0" applyFont="1" applyBorder="1" applyAlignment="1">
      <alignment horizontal="center" vertical="center"/>
    </xf>
    <xf numFmtId="0" fontId="0" fillId="0" borderId="72" xfId="0" applyFont="1" applyBorder="1" applyAlignment="1">
      <alignment horizontal="center"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14" fontId="0" fillId="11" borderId="0" xfId="0" applyNumberFormat="1" applyFill="1" applyAlignment="1">
      <alignment vertical="center"/>
    </xf>
    <xf numFmtId="0" fontId="0" fillId="7" borderId="0" xfId="0" applyNumberFormat="1" applyFill="1" applyAlignment="1">
      <alignment vertical="center" shrinkToFit="1"/>
    </xf>
    <xf numFmtId="55" fontId="0" fillId="0" borderId="0" xfId="0" applyNumberFormat="1" applyFont="1" applyAlignment="1">
      <alignment horizontal="left" vertical="center"/>
    </xf>
    <xf numFmtId="195" fontId="0" fillId="0" borderId="0" xfId="0" applyNumberFormat="1" applyFill="1" applyAlignment="1">
      <alignment horizontal="left" vertical="center"/>
    </xf>
    <xf numFmtId="14" fontId="0" fillId="8" borderId="77" xfId="0" applyNumberFormat="1" applyFill="1" applyBorder="1" applyAlignment="1">
      <alignment vertical="center"/>
    </xf>
    <xf numFmtId="0" fontId="16" fillId="0" borderId="0" xfId="0" applyFont="1" applyAlignment="1">
      <alignment vertical="center"/>
    </xf>
    <xf numFmtId="0" fontId="0" fillId="2" borderId="78" xfId="0" applyFill="1" applyBorder="1" applyAlignment="1">
      <alignment vertical="top" wrapText="1"/>
    </xf>
    <xf numFmtId="0" fontId="0" fillId="2" borderId="79" xfId="0" applyFill="1" applyBorder="1" applyAlignment="1">
      <alignment horizontal="left" vertical="center" wrapText="1"/>
    </xf>
    <xf numFmtId="0" fontId="0" fillId="2" borderId="79" xfId="0" applyFill="1" applyBorder="1" applyAlignment="1">
      <alignment horizontal="left" vertical="center"/>
    </xf>
    <xf numFmtId="0" fontId="0" fillId="2" borderId="80" xfId="0" applyFill="1" applyBorder="1" applyAlignment="1">
      <alignment horizontal="center" vertical="top" wrapText="1"/>
    </xf>
    <xf numFmtId="0" fontId="0" fillId="11" borderId="28" xfId="0" applyNumberFormat="1" applyFill="1" applyBorder="1" applyAlignment="1">
      <alignment vertical="center"/>
    </xf>
    <xf numFmtId="0" fontId="0" fillId="7" borderId="28" xfId="0" applyFill="1" applyBorder="1" applyAlignment="1">
      <alignment horizontal="center" vertical="center"/>
    </xf>
    <xf numFmtId="0" fontId="0" fillId="2" borderId="79" xfId="0" applyFill="1" applyBorder="1" applyAlignment="1" quotePrefix="1">
      <alignment horizontal="left" vertical="center" wrapText="1"/>
    </xf>
    <xf numFmtId="0" fontId="3" fillId="0" borderId="0" xfId="16" applyAlignment="1">
      <alignment vertical="center" wrapText="1"/>
    </xf>
    <xf numFmtId="0" fontId="0" fillId="2" borderId="0" xfId="0" applyFill="1" applyAlignment="1">
      <alignment vertical="center" wrapText="1"/>
    </xf>
    <xf numFmtId="0" fontId="0" fillId="0" borderId="81" xfId="0" applyBorder="1" applyAlignment="1">
      <alignment vertical="center"/>
    </xf>
    <xf numFmtId="0" fontId="0" fillId="0" borderId="81" xfId="0" applyBorder="1" applyAlignment="1">
      <alignment vertical="top" wrapText="1"/>
    </xf>
    <xf numFmtId="0" fontId="0" fillId="0" borderId="81" xfId="0" applyBorder="1" applyAlignment="1">
      <alignment vertical="center" wrapText="1"/>
    </xf>
    <xf numFmtId="0" fontId="11" fillId="2" borderId="0" xfId="0" applyFont="1" applyFill="1" applyAlignment="1">
      <alignment vertical="center"/>
    </xf>
    <xf numFmtId="0" fontId="17" fillId="2" borderId="0" xfId="16" applyFont="1" applyFill="1" applyAlignment="1">
      <alignment vertical="center"/>
    </xf>
    <xf numFmtId="0" fontId="0" fillId="0" borderId="81" xfId="0" applyBorder="1" applyAlignment="1">
      <alignment vertical="center"/>
    </xf>
    <xf numFmtId="0" fontId="0" fillId="13" borderId="81"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alignment vertical="top" wrapText="1"/>
    </xf>
    <xf numFmtId="0" fontId="0" fillId="8" borderId="0" xfId="0" applyFill="1" applyAlignment="1" quotePrefix="1">
      <alignment horizontal="center" vertical="center"/>
    </xf>
    <xf numFmtId="0" fontId="0" fillId="11" borderId="0" xfId="0" applyFill="1" applyAlignment="1">
      <alignment horizontal="center" vertical="center"/>
    </xf>
    <xf numFmtId="0" fontId="0" fillId="0" borderId="0" xfId="0" applyFill="1" applyAlignment="1" quotePrefix="1">
      <alignment horizontal="center" vertical="center"/>
    </xf>
    <xf numFmtId="0" fontId="0" fillId="11" borderId="0" xfId="0" applyFill="1" applyAlignment="1">
      <alignment vertical="center"/>
    </xf>
    <xf numFmtId="38" fontId="0" fillId="11" borderId="0" xfId="17" applyFill="1" applyAlignment="1">
      <alignment vertical="center"/>
    </xf>
    <xf numFmtId="38" fontId="0" fillId="8" borderId="0" xfId="17" applyFill="1" applyAlignment="1" quotePrefix="1">
      <alignment horizontal="right" vertical="center"/>
    </xf>
    <xf numFmtId="14" fontId="0" fillId="14" borderId="28" xfId="0" applyNumberFormat="1" applyFill="1" applyBorder="1" applyAlignment="1">
      <alignment vertical="center"/>
    </xf>
    <xf numFmtId="0" fontId="0" fillId="14" borderId="28" xfId="0" applyFill="1" applyBorder="1" applyAlignment="1">
      <alignment vertical="center"/>
    </xf>
    <xf numFmtId="0" fontId="0" fillId="10" borderId="28" xfId="0" applyFill="1" applyBorder="1" applyAlignment="1">
      <alignment horizontal="right" vertical="center"/>
    </xf>
    <xf numFmtId="20" fontId="0" fillId="0" borderId="65" xfId="0" applyNumberFormat="1" applyBorder="1" applyAlignment="1">
      <alignment vertical="center" textRotation="45" wrapText="1"/>
    </xf>
    <xf numFmtId="0" fontId="11" fillId="13" borderId="82" xfId="0" applyFont="1" applyFill="1" applyBorder="1" applyAlignment="1">
      <alignment horizontal="center" vertical="center" wrapText="1"/>
    </xf>
    <xf numFmtId="0" fontId="0" fillId="2" borderId="81" xfId="0" applyFill="1" applyBorder="1" applyAlignment="1">
      <alignment vertical="center" wrapText="1"/>
    </xf>
    <xf numFmtId="0" fontId="11" fillId="2" borderId="81" xfId="0" applyFont="1" applyFill="1" applyBorder="1" applyAlignment="1">
      <alignment vertical="center" wrapText="1"/>
    </xf>
    <xf numFmtId="0" fontId="11" fillId="2" borderId="0" xfId="0" applyFont="1" applyFill="1" applyAlignment="1">
      <alignment vertical="center" wrapText="1"/>
    </xf>
    <xf numFmtId="0" fontId="3" fillId="0" borderId="0" xfId="16" applyAlignment="1">
      <alignment vertical="top" wrapText="1"/>
    </xf>
    <xf numFmtId="0" fontId="19" fillId="0" borderId="0" xfId="0" applyFont="1" applyAlignment="1">
      <alignment vertical="center"/>
    </xf>
    <xf numFmtId="14" fontId="0" fillId="8" borderId="0" xfId="0" applyNumberFormat="1" applyFill="1" applyAlignment="1" quotePrefix="1">
      <alignment vertical="center"/>
    </xf>
    <xf numFmtId="0" fontId="0" fillId="9" borderId="28" xfId="0" applyFill="1" applyBorder="1" applyAlignment="1">
      <alignment horizontal="center" vertical="center"/>
    </xf>
    <xf numFmtId="0" fontId="0" fillId="9" borderId="28" xfId="0" applyFill="1" applyBorder="1" applyAlignment="1">
      <alignment vertical="center"/>
    </xf>
    <xf numFmtId="0" fontId="3" fillId="0" borderId="0" xfId="16" applyAlignment="1">
      <alignment horizontal="center" vertical="center"/>
    </xf>
    <xf numFmtId="14" fontId="0" fillId="0" borderId="0" xfId="0" applyNumberFormat="1" applyFill="1" applyAlignment="1" quotePrefix="1">
      <alignment vertical="center"/>
    </xf>
    <xf numFmtId="0" fontId="0" fillId="0" borderId="0" xfId="0" applyFont="1" applyAlignment="1" quotePrefix="1">
      <alignment vertical="center"/>
    </xf>
    <xf numFmtId="0" fontId="0" fillId="6" borderId="0" xfId="0" applyFont="1" applyFill="1" applyAlignment="1" quotePrefix="1">
      <alignment vertical="center"/>
    </xf>
    <xf numFmtId="0" fontId="0" fillId="0" borderId="0" xfId="0" applyFont="1" applyAlignment="1">
      <alignment vertical="center"/>
    </xf>
    <xf numFmtId="0" fontId="0" fillId="11" borderId="19" xfId="0" applyFill="1" applyBorder="1" applyAlignment="1">
      <alignment horizontal="center" vertical="center"/>
    </xf>
    <xf numFmtId="0" fontId="0" fillId="11" borderId="20" xfId="0" applyFill="1" applyBorder="1" applyAlignment="1">
      <alignment horizontal="center" vertical="center"/>
    </xf>
    <xf numFmtId="0" fontId="0" fillId="11" borderId="21" xfId="0" applyFill="1" applyBorder="1" applyAlignment="1">
      <alignment horizontal="center" vertical="center"/>
    </xf>
    <xf numFmtId="14" fontId="0" fillId="11" borderId="22" xfId="0" applyNumberFormat="1" applyFill="1" applyBorder="1" applyAlignment="1">
      <alignment vertical="center"/>
    </xf>
    <xf numFmtId="14" fontId="0" fillId="11" borderId="23" xfId="0" applyNumberFormat="1" applyFill="1" applyBorder="1" applyAlignment="1">
      <alignment vertical="center"/>
    </xf>
    <xf numFmtId="0" fontId="3" fillId="0" borderId="0" xfId="16" applyAlignment="1">
      <alignment horizontal="left" vertical="center" indent="1"/>
    </xf>
    <xf numFmtId="0" fontId="20" fillId="0" borderId="0" xfId="0" applyFont="1" applyAlignment="1">
      <alignment vertical="center"/>
    </xf>
    <xf numFmtId="0" fontId="0" fillId="8" borderId="77" xfId="0" applyNumberFormat="1" applyFill="1" applyBorder="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3" fillId="0" borderId="81" xfId="16" applyBorder="1" applyAlignment="1">
      <alignment vertical="top" wrapText="1"/>
    </xf>
    <xf numFmtId="0" fontId="19" fillId="0" borderId="0" xfId="0" applyFont="1" applyAlignment="1">
      <alignment horizontal="left" vertical="center"/>
    </xf>
    <xf numFmtId="179" fontId="0" fillId="0" borderId="0" xfId="0" applyNumberFormat="1" applyAlignment="1">
      <alignment vertical="center"/>
    </xf>
    <xf numFmtId="179" fontId="0" fillId="6" borderId="0" xfId="0" applyNumberFormat="1" applyFill="1" applyAlignment="1">
      <alignment vertical="center"/>
    </xf>
    <xf numFmtId="179" fontId="0" fillId="8" borderId="0" xfId="0" applyNumberFormat="1" applyFill="1" applyAlignment="1">
      <alignment vertical="center"/>
    </xf>
    <xf numFmtId="14" fontId="0" fillId="9" borderId="28" xfId="0" applyNumberFormat="1" applyFill="1" applyBorder="1" applyAlignment="1">
      <alignment vertical="center"/>
    </xf>
    <xf numFmtId="183" fontId="0" fillId="8" borderId="0" xfId="0" applyNumberFormat="1" applyFill="1" applyAlignment="1">
      <alignment vertical="center"/>
    </xf>
    <xf numFmtId="14" fontId="0" fillId="9" borderId="83" xfId="0" applyNumberFormat="1" applyFill="1" applyBorder="1" applyAlignment="1">
      <alignment vertical="center"/>
    </xf>
    <xf numFmtId="14" fontId="0" fillId="9" borderId="84" xfId="0" applyNumberFormat="1" applyFill="1" applyBorder="1" applyAlignment="1">
      <alignment vertical="center"/>
    </xf>
    <xf numFmtId="14" fontId="0" fillId="6" borderId="0" xfId="0" applyNumberFormat="1" applyFill="1" applyAlignment="1">
      <alignment horizontal="center" vertical="center"/>
    </xf>
    <xf numFmtId="0" fontId="0" fillId="0" borderId="0" xfId="0" applyAlignment="1">
      <alignment horizontal="left" vertical="top" wrapText="1"/>
    </xf>
    <xf numFmtId="0" fontId="0" fillId="8" borderId="0" xfId="0" applyFill="1" applyAlignment="1">
      <alignment vertical="top" wrapText="1"/>
    </xf>
    <xf numFmtId="0" fontId="0" fillId="0" borderId="0" xfId="0" applyFill="1" applyAlignment="1" quotePrefix="1">
      <alignment horizontal="left" vertical="top" wrapText="1"/>
    </xf>
    <xf numFmtId="0" fontId="0" fillId="0" borderId="0" xfId="0" applyFill="1" applyAlignment="1">
      <alignment horizontal="left" vertical="top" wrapText="1"/>
    </xf>
    <xf numFmtId="0" fontId="0" fillId="14" borderId="0" xfId="0" applyFill="1" applyAlignment="1">
      <alignment horizontal="center" vertical="center"/>
    </xf>
    <xf numFmtId="0" fontId="0" fillId="0" borderId="0" xfId="0" applyFont="1" applyFill="1" applyAlignment="1" quotePrefix="1">
      <alignment vertical="center"/>
    </xf>
    <xf numFmtId="183" fontId="0" fillId="0" borderId="0" xfId="0" applyNumberFormat="1" applyFill="1" applyAlignment="1">
      <alignment vertical="center"/>
    </xf>
    <xf numFmtId="0" fontId="0" fillId="0" borderId="0" xfId="0" applyFont="1" applyFill="1" applyAlignment="1">
      <alignment vertical="center"/>
    </xf>
    <xf numFmtId="0" fontId="23" fillId="0" borderId="0" xfId="0" applyFont="1" applyAlignment="1">
      <alignment vertical="center"/>
    </xf>
    <xf numFmtId="0" fontId="5" fillId="0" borderId="28" xfId="0" applyFont="1" applyBorder="1" applyAlignment="1">
      <alignment horizontal="center" vertical="center"/>
    </xf>
    <xf numFmtId="14" fontId="0" fillId="10" borderId="0" xfId="0" applyNumberFormat="1" applyFill="1" applyAlignment="1">
      <alignment vertical="center"/>
    </xf>
    <xf numFmtId="0" fontId="3" fillId="6" borderId="0" xfId="16" applyFill="1" applyAlignment="1">
      <alignment vertical="center"/>
    </xf>
    <xf numFmtId="0" fontId="5" fillId="0" borderId="0" xfId="0" applyFont="1" applyFill="1" applyAlignment="1">
      <alignment horizontal="left" wrapText="1"/>
    </xf>
    <xf numFmtId="0" fontId="0" fillId="8" borderId="0" xfId="0" applyFill="1" applyBorder="1" applyAlignment="1">
      <alignment vertical="top" wrapText="1"/>
    </xf>
    <xf numFmtId="0" fontId="0" fillId="6" borderId="0" xfId="0" applyFont="1" applyFill="1" applyAlignment="1">
      <alignment horizontal="center" wrapText="1"/>
    </xf>
    <xf numFmtId="0" fontId="0" fillId="6" borderId="0" xfId="0" applyFont="1" applyFill="1" applyBorder="1" applyAlignment="1">
      <alignment horizontal="center" wrapText="1"/>
    </xf>
    <xf numFmtId="0" fontId="5" fillId="0" borderId="0" xfId="0" applyFont="1" applyFill="1" applyBorder="1" applyAlignment="1">
      <alignment horizontal="left" wrapText="1"/>
    </xf>
    <xf numFmtId="0" fontId="0" fillId="11" borderId="28" xfId="0" applyFont="1" applyFill="1" applyBorder="1" applyAlignment="1">
      <alignment horizontal="center" wrapText="1"/>
    </xf>
    <xf numFmtId="14" fontId="0" fillId="11" borderId="28" xfId="0" applyNumberFormat="1" applyFill="1" applyBorder="1" applyAlignment="1">
      <alignment vertical="top" wrapText="1"/>
    </xf>
    <xf numFmtId="0" fontId="0" fillId="0" borderId="0" xfId="0" applyFill="1" applyBorder="1" applyAlignment="1">
      <alignment vertical="top" wrapText="1"/>
    </xf>
    <xf numFmtId="0" fontId="10" fillId="0" borderId="0" xfId="0" applyFont="1" applyAlignment="1">
      <alignment horizontal="left" vertical="center"/>
    </xf>
    <xf numFmtId="20" fontId="0" fillId="0" borderId="0" xfId="0" applyNumberFormat="1" applyAlignment="1">
      <alignment vertical="center"/>
    </xf>
    <xf numFmtId="0" fontId="0" fillId="6" borderId="28" xfId="0" applyFill="1" applyBorder="1" applyAlignment="1">
      <alignment horizontal="center" vertical="center"/>
    </xf>
    <xf numFmtId="0" fontId="0" fillId="8" borderId="28" xfId="0" applyFill="1" applyBorder="1" applyAlignment="1">
      <alignment horizontal="center" vertical="center"/>
    </xf>
    <xf numFmtId="20" fontId="0" fillId="8" borderId="28" xfId="0" applyNumberFormat="1" applyFill="1" applyBorder="1" applyAlignment="1">
      <alignment vertical="center"/>
    </xf>
    <xf numFmtId="20" fontId="0" fillId="9" borderId="28" xfId="0" applyNumberFormat="1" applyFill="1" applyBorder="1" applyAlignment="1">
      <alignment vertical="center"/>
    </xf>
    <xf numFmtId="20" fontId="0" fillId="9" borderId="0" xfId="0" applyNumberFormat="1" applyFill="1" applyBorder="1" applyAlignment="1">
      <alignment vertical="center"/>
    </xf>
    <xf numFmtId="20" fontId="0" fillId="8" borderId="0" xfId="0" applyNumberFormat="1" applyFill="1" applyBorder="1" applyAlignment="1">
      <alignment vertical="center"/>
    </xf>
    <xf numFmtId="0" fontId="0" fillId="6" borderId="0" xfId="0" applyFill="1" applyBorder="1" applyAlignment="1" quotePrefix="1">
      <alignment vertical="center"/>
    </xf>
    <xf numFmtId="20" fontId="0" fillId="0" borderId="0" xfId="0" applyNumberFormat="1" applyFill="1" applyBorder="1" applyAlignment="1">
      <alignment vertical="center"/>
    </xf>
    <xf numFmtId="0" fontId="0" fillId="0" borderId="0" xfId="0" applyFill="1" applyBorder="1" applyAlignment="1" quotePrefix="1">
      <alignment vertical="center"/>
    </xf>
    <xf numFmtId="20" fontId="0" fillId="8" borderId="0" xfId="0" applyNumberFormat="1" applyFill="1" applyAlignment="1">
      <alignment vertical="center"/>
    </xf>
    <xf numFmtId="190" fontId="0" fillId="9" borderId="28" xfId="0" applyNumberFormat="1" applyFill="1" applyBorder="1" applyAlignment="1">
      <alignment vertical="center"/>
    </xf>
    <xf numFmtId="22" fontId="0" fillId="9" borderId="28" xfId="0" applyNumberFormat="1" applyFill="1" applyBorder="1" applyAlignment="1">
      <alignment vertical="center"/>
    </xf>
    <xf numFmtId="20" fontId="10" fillId="0" borderId="0" xfId="0" applyNumberFormat="1" applyFont="1" applyFill="1" applyBorder="1" applyAlignment="1">
      <alignment vertical="center"/>
    </xf>
    <xf numFmtId="194" fontId="0" fillId="9" borderId="28" xfId="0" applyNumberFormat="1" applyFill="1" applyBorder="1" applyAlignment="1">
      <alignment vertical="center"/>
    </xf>
    <xf numFmtId="188" fontId="0" fillId="8" borderId="28" xfId="0" applyNumberFormat="1" applyFill="1" applyBorder="1" applyAlignment="1">
      <alignment vertical="center"/>
    </xf>
    <xf numFmtId="194" fontId="0" fillId="9" borderId="0" xfId="0" applyNumberFormat="1" applyFill="1" applyBorder="1" applyAlignment="1">
      <alignment vertical="center"/>
    </xf>
    <xf numFmtId="188" fontId="0" fillId="8" borderId="0" xfId="0" applyNumberFormat="1" applyFill="1" applyBorder="1" applyAlignment="1">
      <alignment vertical="center"/>
    </xf>
    <xf numFmtId="190" fontId="0" fillId="8" borderId="28" xfId="0" applyNumberFormat="1" applyFill="1" applyBorder="1" applyAlignment="1">
      <alignment vertical="center"/>
    </xf>
    <xf numFmtId="188" fontId="0" fillId="9" borderId="28" xfId="0" applyNumberFormat="1" applyFill="1" applyBorder="1" applyAlignment="1">
      <alignment vertical="center"/>
    </xf>
    <xf numFmtId="20" fontId="0" fillId="0" borderId="0" xfId="0" applyNumberFormat="1" applyFill="1" applyBorder="1" applyAlignment="1">
      <alignment horizontal="center" vertical="center"/>
    </xf>
    <xf numFmtId="20" fontId="0" fillId="6" borderId="0" xfId="0" applyNumberFormat="1" applyFill="1" applyBorder="1" applyAlignment="1">
      <alignment horizontal="center" vertical="center"/>
    </xf>
    <xf numFmtId="20" fontId="0" fillId="6" borderId="0" xfId="0" applyNumberFormat="1" applyFill="1" applyBorder="1" applyAlignment="1" quotePrefix="1">
      <alignment vertical="center"/>
    </xf>
    <xf numFmtId="20" fontId="0" fillId="6" borderId="0" xfId="0" applyNumberFormat="1" applyFill="1" applyBorder="1" applyAlignment="1">
      <alignment vertical="center"/>
    </xf>
    <xf numFmtId="196" fontId="0" fillId="0" borderId="0" xfId="0" applyNumberFormat="1" applyAlignment="1">
      <alignment vertical="center"/>
    </xf>
    <xf numFmtId="0" fontId="10" fillId="0" borderId="0" xfId="0" applyFont="1" applyFill="1" applyBorder="1" applyAlignment="1">
      <alignment horizontal="left" vertical="center"/>
    </xf>
    <xf numFmtId="38" fontId="0" fillId="8" borderId="0" xfId="17" applyFill="1" applyAlignment="1">
      <alignment vertical="center"/>
    </xf>
    <xf numFmtId="38" fontId="0" fillId="11" borderId="28" xfId="17" applyFill="1" applyBorder="1" applyAlignment="1">
      <alignment vertical="center"/>
    </xf>
    <xf numFmtId="188" fontId="0" fillId="8" borderId="28" xfId="0" applyNumberFormat="1" applyFill="1" applyBorder="1" applyAlignment="1">
      <alignment vertical="top" wrapText="1"/>
    </xf>
    <xf numFmtId="0" fontId="0" fillId="6" borderId="28" xfId="0" applyFill="1" applyBorder="1" applyAlignment="1">
      <alignment vertical="center"/>
    </xf>
    <xf numFmtId="198" fontId="0" fillId="8" borderId="0" xfId="0" applyNumberFormat="1" applyFill="1" applyAlignment="1">
      <alignment vertical="center"/>
    </xf>
    <xf numFmtId="20" fontId="0" fillId="9" borderId="0" xfId="0" applyNumberFormat="1" applyFill="1" applyBorder="1" applyAlignment="1">
      <alignment horizontal="center" vertical="center"/>
    </xf>
    <xf numFmtId="190" fontId="0" fillId="9" borderId="0" xfId="0" applyNumberFormat="1" applyFill="1" applyBorder="1" applyAlignment="1">
      <alignment vertical="center"/>
    </xf>
    <xf numFmtId="20" fontId="0" fillId="8" borderId="0" xfId="0" applyNumberFormat="1" applyFill="1" applyBorder="1" applyAlignment="1">
      <alignment horizontal="center" vertical="center"/>
    </xf>
    <xf numFmtId="22" fontId="0" fillId="9" borderId="0" xfId="0" applyNumberFormat="1" applyFill="1" applyBorder="1" applyAlignment="1">
      <alignment vertical="center"/>
    </xf>
    <xf numFmtId="22" fontId="0" fillId="8" borderId="0" xfId="0" applyNumberFormat="1" applyFill="1" applyBorder="1" applyAlignment="1">
      <alignment vertical="center"/>
    </xf>
    <xf numFmtId="199" fontId="0" fillId="9" borderId="28" xfId="0" applyNumberFormat="1" applyFill="1" applyBorder="1" applyAlignment="1">
      <alignment vertical="center"/>
    </xf>
    <xf numFmtId="0" fontId="0" fillId="8" borderId="28" xfId="0" applyFill="1" applyBorder="1" applyAlignment="1">
      <alignment vertical="center"/>
    </xf>
    <xf numFmtId="199" fontId="0" fillId="0" borderId="0" xfId="0" applyNumberFormat="1" applyAlignment="1">
      <alignment vertical="center"/>
    </xf>
    <xf numFmtId="31" fontId="0" fillId="11" borderId="25" xfId="0" applyNumberFormat="1" applyFill="1" applyBorder="1" applyAlignment="1">
      <alignment vertical="center"/>
    </xf>
    <xf numFmtId="0" fontId="0" fillId="0" borderId="85" xfId="0" applyBorder="1" applyAlignment="1">
      <alignment horizontal="center" vertical="center"/>
    </xf>
    <xf numFmtId="0" fontId="0" fillId="0" borderId="86" xfId="0" applyBorder="1" applyAlignment="1">
      <alignment vertical="center"/>
    </xf>
    <xf numFmtId="0" fontId="0" fillId="0" borderId="87" xfId="0" applyBorder="1" applyAlignment="1">
      <alignment vertical="center"/>
    </xf>
    <xf numFmtId="14" fontId="0" fillId="0" borderId="84" xfId="0" applyNumberFormat="1" applyBorder="1" applyAlignment="1">
      <alignment vertical="center"/>
    </xf>
    <xf numFmtId="0" fontId="0" fillId="0" borderId="83" xfId="0" applyBorder="1" applyAlignment="1">
      <alignment vertical="center"/>
    </xf>
    <xf numFmtId="0" fontId="0" fillId="6" borderId="84" xfId="0" applyFill="1" applyBorder="1" applyAlignment="1" quotePrefix="1">
      <alignment vertical="center"/>
    </xf>
    <xf numFmtId="0" fontId="0" fillId="0" borderId="0" xfId="0" applyBorder="1" applyAlignment="1">
      <alignment horizontal="center" vertical="center"/>
    </xf>
    <xf numFmtId="0" fontId="0" fillId="8" borderId="0" xfId="0" applyFill="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6" borderId="89" xfId="0" applyFill="1" applyBorder="1" applyAlignment="1" quotePrefix="1">
      <alignment vertical="center"/>
    </xf>
    <xf numFmtId="0" fontId="0" fillId="0" borderId="90" xfId="0" applyBorder="1" applyAlignment="1">
      <alignment vertical="center"/>
    </xf>
    <xf numFmtId="46" fontId="0" fillId="0" borderId="0" xfId="0" applyNumberFormat="1" applyAlignment="1">
      <alignment vertical="center"/>
    </xf>
    <xf numFmtId="0" fontId="10" fillId="0" borderId="0" xfId="0" applyFont="1" applyAlignment="1">
      <alignment vertical="center" wrapText="1"/>
    </xf>
    <xf numFmtId="0" fontId="0" fillId="6" borderId="0" xfId="0" applyNumberFormat="1" applyFill="1" applyAlignment="1" quotePrefix="1">
      <alignment vertical="center" wrapText="1"/>
    </xf>
    <xf numFmtId="0" fontId="0" fillId="6" borderId="0" xfId="0" applyFill="1" applyAlignment="1">
      <alignment vertical="center" wrapText="1"/>
    </xf>
    <xf numFmtId="0" fontId="0" fillId="6" borderId="0" xfId="0" applyNumberFormat="1" applyFill="1" applyAlignment="1" quotePrefix="1">
      <alignment vertical="center" wrapText="1" shrinkToFit="1"/>
    </xf>
    <xf numFmtId="0" fontId="0" fillId="6" borderId="0" xfId="0" applyFont="1" applyFill="1" applyAlignment="1">
      <alignment vertical="center" shrinkToFit="1"/>
    </xf>
    <xf numFmtId="0" fontId="15" fillId="0" borderId="0" xfId="0" applyFont="1" applyFill="1" applyBorder="1" applyAlignment="1">
      <alignment vertical="center" wrapText="1"/>
    </xf>
    <xf numFmtId="0" fontId="0" fillId="0" borderId="0" xfId="0" applyFill="1" applyAlignment="1">
      <alignment vertical="center" wrapText="1"/>
    </xf>
    <xf numFmtId="0" fontId="0" fillId="10" borderId="0" xfId="0" applyFill="1" applyBorder="1" applyAlignment="1">
      <alignment vertical="center" wrapText="1"/>
    </xf>
    <xf numFmtId="0" fontId="0" fillId="6" borderId="0" xfId="0" applyFill="1" applyBorder="1" applyAlignment="1" quotePrefix="1">
      <alignment vertical="top" shrinkToFit="1"/>
    </xf>
    <xf numFmtId="0" fontId="0" fillId="6" borderId="0" xfId="0" applyFill="1" applyAlignment="1">
      <alignment vertical="top" shrinkToFit="1"/>
    </xf>
    <xf numFmtId="0" fontId="0" fillId="6" borderId="0" xfId="0" applyFont="1" applyFill="1" applyBorder="1" applyAlignment="1" quotePrefix="1">
      <alignment horizontal="left" shrinkToFit="1"/>
    </xf>
    <xf numFmtId="0" fontId="0" fillId="0" borderId="0" xfId="0" applyFont="1" applyAlignment="1">
      <alignment vertical="center" shrinkToFit="1"/>
    </xf>
    <xf numFmtId="0" fontId="0" fillId="6" borderId="0" xfId="0" applyFill="1" applyAlignment="1" quotePrefix="1">
      <alignment vertical="center" wrapText="1"/>
    </xf>
    <xf numFmtId="0" fontId="0" fillId="10" borderId="0" xfId="0" applyFill="1" applyAlignment="1">
      <alignment horizontal="center" vertical="center" wrapText="1"/>
    </xf>
    <xf numFmtId="0" fontId="10" fillId="0" borderId="0" xfId="0" applyFont="1" applyFill="1" applyAlignment="1">
      <alignment vertical="center" wrapText="1"/>
    </xf>
    <xf numFmtId="0" fontId="0" fillId="2" borderId="91" xfId="0" applyFill="1" applyBorder="1" applyAlignment="1">
      <alignment vertical="center" textRotation="255"/>
    </xf>
    <xf numFmtId="0" fontId="0" fillId="2" borderId="92" xfId="0" applyFill="1" applyBorder="1" applyAlignment="1">
      <alignment vertical="center" textRotation="255"/>
    </xf>
    <xf numFmtId="0" fontId="15" fillId="0" borderId="0" xfId="0" applyFont="1" applyAlignment="1">
      <alignment vertical="top" wrapText="1"/>
    </xf>
    <xf numFmtId="0" fontId="0" fillId="10" borderId="0" xfId="0" applyFill="1" applyBorder="1" applyAlignment="1">
      <alignment vertical="top" wrapText="1"/>
    </xf>
    <xf numFmtId="0" fontId="0" fillId="10" borderId="0" xfId="0" applyFill="1" applyAlignment="1">
      <alignment vertical="top" wrapText="1"/>
    </xf>
    <xf numFmtId="0" fontId="0" fillId="6" borderId="0" xfId="0" applyFont="1" applyFill="1" applyAlignment="1" quotePrefix="1">
      <alignment horizontal="left" vertical="top" shrinkToFit="1"/>
    </xf>
    <xf numFmtId="0" fontId="0" fillId="6" borderId="0" xfId="0" applyFont="1" applyFill="1" applyAlignment="1">
      <alignment vertical="top" shrinkToFi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0" xfId="0" applyFill="1" applyAlignment="1">
      <alignment horizontal="left" vertical="top" wrapText="1"/>
    </xf>
    <xf numFmtId="0" fontId="0" fillId="2" borderId="93" xfId="0" applyFill="1" applyBorder="1" applyAlignment="1">
      <alignment vertical="center" textRotation="255"/>
    </xf>
    <xf numFmtId="20" fontId="0" fillId="0" borderId="0" xfId="0" applyNumberFormat="1" applyAlignment="1">
      <alignment vertical="top" wrapText="1"/>
    </xf>
    <xf numFmtId="0" fontId="0" fillId="0" borderId="0" xfId="0" applyAlignment="1">
      <alignment vertical="top" wrapText="1"/>
    </xf>
    <xf numFmtId="20" fontId="0" fillId="0" borderId="86" xfId="0" applyNumberFormat="1" applyFill="1" applyBorder="1" applyAlignment="1">
      <alignment vertical="center" wrapText="1"/>
    </xf>
    <xf numFmtId="0" fontId="0" fillId="0" borderId="86" xfId="0" applyBorder="1" applyAlignment="1">
      <alignment vertical="center" wrapText="1"/>
    </xf>
    <xf numFmtId="0" fontId="0" fillId="0" borderId="0" xfId="0" applyAlignment="1">
      <alignment vertical="center" wrapText="1"/>
    </xf>
    <xf numFmtId="194" fontId="0" fillId="10" borderId="86" xfId="0" applyNumberFormat="1" applyFill="1" applyBorder="1" applyAlignment="1">
      <alignment horizontal="right" vertical="center"/>
    </xf>
    <xf numFmtId="20" fontId="0" fillId="6" borderId="0" xfId="0" applyNumberFormat="1" applyFill="1" applyBorder="1" applyAlignment="1" quotePrefix="1">
      <alignment vertical="center"/>
    </xf>
    <xf numFmtId="0" fontId="0" fillId="0" borderId="0" xfId="0" applyAlignment="1">
      <alignment vertical="center"/>
    </xf>
    <xf numFmtId="0" fontId="0" fillId="0" borderId="0" xfId="0" applyAlignment="1">
      <alignment vertical="center" shrinkToFit="1"/>
    </xf>
    <xf numFmtId="0" fontId="0" fillId="0" borderId="0" xfId="0" applyAlignment="1">
      <alignment horizontal="left" vertical="top" wrapText="1"/>
    </xf>
    <xf numFmtId="0" fontId="0" fillId="6" borderId="0" xfId="0" applyFill="1" applyAlignment="1" quotePrefix="1">
      <alignment vertical="center" shrinkToFit="1"/>
    </xf>
    <xf numFmtId="0" fontId="0" fillId="6" borderId="0" xfId="0" applyFill="1" applyAlignment="1">
      <alignment vertical="center" shrinkToFit="1"/>
    </xf>
    <xf numFmtId="0" fontId="0" fillId="2" borderId="12" xfId="0" applyFill="1" applyBorder="1" applyAlignment="1">
      <alignment vertical="center" wrapText="1"/>
    </xf>
    <xf numFmtId="0" fontId="0" fillId="0" borderId="12" xfId="0" applyBorder="1" applyAlignment="1">
      <alignment vertical="center" wrapText="1"/>
    </xf>
    <xf numFmtId="0" fontId="0" fillId="4" borderId="94" xfId="0" applyFill="1" applyBorder="1" applyAlignment="1">
      <alignment vertical="center"/>
    </xf>
    <xf numFmtId="0" fontId="0" fillId="4" borderId="95" xfId="0" applyFill="1" applyBorder="1" applyAlignment="1">
      <alignment vertical="center"/>
    </xf>
    <xf numFmtId="0" fontId="0" fillId="4" borderId="94" xfId="0" applyFill="1" applyBorder="1" applyAlignment="1">
      <alignment vertical="center" wrapText="1"/>
    </xf>
    <xf numFmtId="0" fontId="0" fillId="4" borderId="95" xfId="0" applyFill="1" applyBorder="1" applyAlignment="1">
      <alignment vertical="center" wrapText="1"/>
    </xf>
    <xf numFmtId="0" fontId="0" fillId="3" borderId="96" xfId="0" applyFill="1"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8" fillId="2" borderId="12" xfId="0" applyFont="1" applyFill="1" applyBorder="1" applyAlignment="1">
      <alignment vertical="center" wrapText="1"/>
    </xf>
    <xf numFmtId="0" fontId="0" fillId="0" borderId="0" xfId="0" applyFill="1" applyBorder="1" applyAlignment="1">
      <alignment vertical="center" wrapText="1"/>
    </xf>
    <xf numFmtId="14" fontId="0" fillId="0" borderId="0" xfId="0" applyNumberFormat="1" applyAlignment="1">
      <alignment vertical="center" wrapText="1"/>
    </xf>
    <xf numFmtId="0" fontId="0" fillId="8" borderId="0" xfId="0" applyFont="1" applyFill="1" applyAlignment="1" quotePrefix="1">
      <alignment vertical="center" wrapText="1"/>
    </xf>
    <xf numFmtId="0" fontId="0" fillId="10" borderId="0" xfId="0" applyFill="1" applyAlignment="1">
      <alignment vertical="center" wrapText="1"/>
    </xf>
    <xf numFmtId="0" fontId="0" fillId="6" borderId="0" xfId="0" applyFill="1" applyAlignment="1" quotePrefix="1">
      <alignment vertical="center" wrapText="1" shrinkToFit="1"/>
    </xf>
    <xf numFmtId="0" fontId="0" fillId="2" borderId="48" xfId="0" applyFill="1" applyBorder="1" applyAlignment="1">
      <alignment vertical="center" wrapText="1"/>
    </xf>
    <xf numFmtId="0" fontId="0" fillId="6" borderId="0" xfId="0" applyFill="1" applyAlignment="1">
      <alignment horizontal="center" vertical="center"/>
    </xf>
    <xf numFmtId="0" fontId="0" fillId="0" borderId="0" xfId="0" applyAlignment="1">
      <alignment horizontal="center" vertical="center"/>
    </xf>
    <xf numFmtId="0" fontId="0" fillId="2" borderId="79" xfId="0" applyFill="1" applyBorder="1" applyAlignment="1">
      <alignment vertical="center" wrapText="1"/>
    </xf>
    <xf numFmtId="0" fontId="0" fillId="2" borderId="47" xfId="0" applyFill="1" applyBorder="1" applyAlignment="1">
      <alignment vertical="center" wrapText="1"/>
    </xf>
    <xf numFmtId="0" fontId="0" fillId="2" borderId="98" xfId="0" applyFill="1" applyBorder="1" applyAlignment="1">
      <alignment vertical="center" wrapText="1"/>
    </xf>
    <xf numFmtId="0" fontId="8" fillId="2" borderId="99" xfId="0" applyFont="1" applyFill="1" applyBorder="1" applyAlignment="1">
      <alignment vertical="center" wrapText="1"/>
    </xf>
    <xf numFmtId="0" fontId="0" fillId="2" borderId="99" xfId="0" applyFill="1" applyBorder="1" applyAlignment="1">
      <alignment vertical="center" wrapText="1"/>
    </xf>
    <xf numFmtId="0" fontId="0" fillId="2" borderId="100" xfId="0" applyFill="1" applyBorder="1" applyAlignment="1">
      <alignment vertical="center" wrapText="1"/>
    </xf>
    <xf numFmtId="0" fontId="0" fillId="8" borderId="0" xfId="0" applyFill="1" applyAlignment="1">
      <alignment vertical="center" wrapText="1"/>
    </xf>
    <xf numFmtId="0" fontId="0" fillId="2" borderId="101" xfId="0" applyFill="1" applyBorder="1" applyAlignment="1">
      <alignment vertical="center" wrapText="1"/>
    </xf>
    <xf numFmtId="0" fontId="0" fillId="2" borderId="102" xfId="0" applyFill="1" applyBorder="1" applyAlignment="1">
      <alignment vertical="center" wrapText="1"/>
    </xf>
    <xf numFmtId="0" fontId="0" fillId="0" borderId="98" xfId="0" applyBorder="1" applyAlignment="1">
      <alignment vertical="center" wrapText="1"/>
    </xf>
    <xf numFmtId="0" fontId="0" fillId="2" borderId="103" xfId="0" applyFill="1" applyBorder="1" applyAlignment="1">
      <alignment horizontal="center" vertical="center" wrapText="1"/>
    </xf>
    <xf numFmtId="0" fontId="0" fillId="0" borderId="47" xfId="0" applyBorder="1" applyAlignment="1">
      <alignment vertical="center" wrapText="1"/>
    </xf>
    <xf numFmtId="0" fontId="0" fillId="2" borderId="104" xfId="0" applyFill="1" applyBorder="1" applyAlignment="1">
      <alignment horizontal="center" vertical="center" wrapText="1"/>
    </xf>
    <xf numFmtId="0" fontId="0" fillId="8" borderId="0" xfId="0" applyFill="1" applyAlignment="1" quotePrefix="1">
      <alignment vertical="center" wrapText="1"/>
    </xf>
    <xf numFmtId="0" fontId="0" fillId="2" borderId="11" xfId="0" applyFill="1" applyBorder="1" applyAlignment="1">
      <alignment vertical="center" wrapText="1"/>
    </xf>
    <xf numFmtId="0" fontId="0" fillId="2" borderId="12" xfId="0" applyFont="1" applyFill="1" applyBorder="1" applyAlignment="1">
      <alignment vertical="center" wrapText="1"/>
    </xf>
    <xf numFmtId="0" fontId="0" fillId="8" borderId="0" xfId="0" applyNumberFormat="1" applyFill="1" applyAlignment="1" quotePrefix="1">
      <alignment vertical="center" wrapText="1"/>
    </xf>
    <xf numFmtId="0" fontId="0" fillId="10" borderId="0" xfId="0" applyNumberFormat="1" applyFill="1" applyAlignment="1">
      <alignment vertical="center" wrapText="1"/>
    </xf>
    <xf numFmtId="0" fontId="0" fillId="4" borderId="95" xfId="0" applyFill="1" applyBorder="1" applyAlignment="1">
      <alignment vertical="top" wrapText="1"/>
    </xf>
    <xf numFmtId="0" fontId="0" fillId="4" borderId="0" xfId="0" applyFill="1" applyBorder="1" applyAlignment="1">
      <alignment vertical="top" wrapText="1"/>
    </xf>
    <xf numFmtId="14" fontId="0" fillId="10" borderId="0" xfId="0" applyNumberFormat="1" applyFill="1" applyAlignment="1">
      <alignment vertical="top" wrapText="1"/>
    </xf>
    <xf numFmtId="0" fontId="8" fillId="2" borderId="11" xfId="0" applyFont="1" applyFill="1" applyBorder="1" applyAlignment="1">
      <alignment vertical="center" wrapText="1"/>
    </xf>
    <xf numFmtId="0" fontId="0" fillId="0" borderId="11" xfId="0" applyBorder="1" applyAlignment="1">
      <alignment vertical="center" wrapText="1"/>
    </xf>
    <xf numFmtId="0" fontId="0" fillId="2" borderId="11" xfId="0" applyFill="1" applyBorder="1" applyAlignment="1">
      <alignment vertical="center"/>
    </xf>
    <xf numFmtId="0" fontId="0" fillId="2" borderId="12" xfId="0" applyFill="1" applyBorder="1" applyAlignment="1">
      <alignment vertical="center"/>
    </xf>
    <xf numFmtId="0" fontId="0" fillId="2" borderId="0" xfId="0" applyFill="1" applyBorder="1" applyAlignment="1">
      <alignment vertical="center" wrapText="1"/>
    </xf>
    <xf numFmtId="0" fontId="0" fillId="4" borderId="0" xfId="0" applyFill="1" applyBorder="1" applyAlignment="1">
      <alignment vertical="center" wrapText="1"/>
    </xf>
    <xf numFmtId="0" fontId="0" fillId="6" borderId="0" xfId="0" applyFill="1" applyAlignment="1" quotePrefix="1">
      <alignment vertical="center"/>
    </xf>
    <xf numFmtId="0" fontId="8" fillId="2" borderId="98" xfId="0" applyFont="1" applyFill="1" applyBorder="1" applyAlignment="1">
      <alignment vertical="center" wrapText="1"/>
    </xf>
    <xf numFmtId="0" fontId="0" fillId="0" borderId="0" xfId="0" applyBorder="1" applyAlignment="1">
      <alignment vertical="center" wrapText="1"/>
    </xf>
    <xf numFmtId="0" fontId="0" fillId="6" borderId="0" xfId="0" applyFill="1" applyAlignment="1">
      <alignment horizontal="center" vertical="center" wrapText="1"/>
    </xf>
    <xf numFmtId="0" fontId="0" fillId="0" borderId="0" xfId="0" applyAlignment="1">
      <alignment horizontal="center" vertical="center" wrapText="1"/>
    </xf>
    <xf numFmtId="0" fontId="0" fillId="0" borderId="95" xfId="0" applyBorder="1" applyAlignment="1">
      <alignment vertical="top" wrapText="1"/>
    </xf>
    <xf numFmtId="0" fontId="8" fillId="2" borderId="98" xfId="0" applyFont="1" applyFill="1" applyBorder="1" applyAlignment="1">
      <alignment vertical="top" wrapText="1"/>
    </xf>
    <xf numFmtId="0" fontId="0" fillId="2" borderId="0" xfId="0" applyFill="1" applyBorder="1" applyAlignment="1">
      <alignment vertical="top" wrapText="1"/>
    </xf>
    <xf numFmtId="0" fontId="0" fillId="2" borderId="98" xfId="0" applyFill="1" applyBorder="1" applyAlignment="1">
      <alignment vertical="top" wrapText="1"/>
    </xf>
    <xf numFmtId="0" fontId="0" fillId="0" borderId="98" xfId="0" applyBorder="1" applyAlignment="1">
      <alignment vertical="top" wrapText="1"/>
    </xf>
    <xf numFmtId="0" fontId="0" fillId="0" borderId="0" xfId="0" applyBorder="1" applyAlignment="1">
      <alignment vertical="top" wrapText="1"/>
    </xf>
    <xf numFmtId="0" fontId="15" fillId="2" borderId="98" xfId="0" applyFont="1" applyFill="1" applyBorder="1" applyAlignment="1">
      <alignment vertical="top" wrapText="1"/>
    </xf>
    <xf numFmtId="0" fontId="0" fillId="10" borderId="84" xfId="0" applyFill="1" applyBorder="1" applyAlignment="1">
      <alignment vertical="center" shrinkToFit="1"/>
    </xf>
    <xf numFmtId="0" fontId="0" fillId="10" borderId="0" xfId="0" applyFill="1" applyAlignment="1">
      <alignment vertical="center" shrinkToFit="1"/>
    </xf>
    <xf numFmtId="0" fontId="0" fillId="0" borderId="95" xfId="0" applyBorder="1" applyAlignment="1">
      <alignment vertical="center" wrapText="1"/>
    </xf>
    <xf numFmtId="0" fontId="8" fillId="2" borderId="12" xfId="0" applyFont="1" applyFill="1" applyBorder="1" applyAlignment="1">
      <alignment vertical="top" wrapText="1"/>
    </xf>
    <xf numFmtId="0" fontId="0" fillId="2" borderId="12" xfId="0" applyFill="1" applyBorder="1" applyAlignment="1">
      <alignment vertical="top" wrapText="1"/>
    </xf>
    <xf numFmtId="0" fontId="0" fillId="0" borderId="12" xfId="0" applyBorder="1" applyAlignment="1">
      <alignment vertical="top" wrapText="1"/>
    </xf>
    <xf numFmtId="0" fontId="0" fillId="0" borderId="0" xfId="0" applyNumberFormat="1" applyFill="1" applyAlignment="1">
      <alignment vertical="center" wrapText="1"/>
    </xf>
    <xf numFmtId="0" fontId="0" fillId="2" borderId="0" xfId="0" applyFill="1" applyAlignment="1">
      <alignment vertical="top" wrapText="1"/>
    </xf>
    <xf numFmtId="14" fontId="0" fillId="6" borderId="0" xfId="0" applyNumberFormat="1" applyFill="1" applyAlignment="1" quotePrefix="1">
      <alignment vertical="center" shrinkToFit="1"/>
    </xf>
    <xf numFmtId="14" fontId="0" fillId="0" borderId="0" xfId="0" applyNumberFormat="1" applyFill="1" applyAlignment="1">
      <alignment vertical="center" wrapText="1"/>
    </xf>
    <xf numFmtId="0" fontId="0" fillId="6" borderId="0" xfId="0" applyNumberFormat="1" applyFill="1" applyAlignment="1" quotePrefix="1">
      <alignment vertical="top" wrapText="1"/>
    </xf>
    <xf numFmtId="0" fontId="0" fillId="2" borderId="48" xfId="0" applyFill="1" applyBorder="1" applyAlignment="1">
      <alignment horizontal="left" vertical="top" wrapText="1"/>
    </xf>
    <xf numFmtId="0" fontId="0" fillId="2" borderId="79" xfId="0" applyFill="1" applyBorder="1" applyAlignment="1">
      <alignment horizontal="left" vertical="top" wrapText="1"/>
    </xf>
    <xf numFmtId="14" fontId="0" fillId="2" borderId="48" xfId="0" applyNumberFormat="1" applyFill="1" applyBorder="1" applyAlignment="1">
      <alignment vertical="top" wrapText="1"/>
    </xf>
    <xf numFmtId="0" fontId="0" fillId="2" borderId="48" xfId="0" applyFill="1" applyBorder="1" applyAlignment="1">
      <alignment vertical="top" wrapText="1"/>
    </xf>
    <xf numFmtId="0" fontId="0" fillId="2" borderId="79" xfId="0" applyFill="1" applyBorder="1" applyAlignment="1">
      <alignment vertical="top" wrapText="1"/>
    </xf>
    <xf numFmtId="0" fontId="0" fillId="2" borderId="103" xfId="0" applyFill="1" applyBorder="1" applyAlignment="1">
      <alignment vertical="top" wrapText="1"/>
    </xf>
    <xf numFmtId="0" fontId="0" fillId="2" borderId="101" xfId="0" applyFill="1" applyBorder="1" applyAlignment="1">
      <alignment vertical="top" wrapText="1"/>
    </xf>
    <xf numFmtId="0" fontId="0" fillId="2" borderId="48" xfId="0" applyFill="1" applyBorder="1" applyAlignment="1">
      <alignment horizontal="center" vertical="center" wrapText="1"/>
    </xf>
    <xf numFmtId="0" fontId="0" fillId="2" borderId="48" xfId="0" applyFill="1" applyBorder="1" applyAlignment="1" quotePrefix="1">
      <alignment vertical="center" wrapText="1"/>
    </xf>
    <xf numFmtId="0" fontId="0" fillId="2" borderId="103" xfId="0" applyFill="1" applyBorder="1" applyAlignment="1">
      <alignment vertical="center" wrapText="1"/>
    </xf>
    <xf numFmtId="0" fontId="0" fillId="2" borderId="105" xfId="0" applyFill="1" applyBorder="1" applyAlignment="1">
      <alignment vertical="top" wrapText="1"/>
    </xf>
    <xf numFmtId="0" fontId="0" fillId="0" borderId="106" xfId="0" applyBorder="1" applyAlignment="1">
      <alignment vertical="top" wrapText="1"/>
    </xf>
    <xf numFmtId="14" fontId="0" fillId="2" borderId="79" xfId="0" applyNumberFormat="1" applyFill="1" applyBorder="1" applyAlignment="1">
      <alignment vertical="top" wrapText="1"/>
    </xf>
    <xf numFmtId="0" fontId="0" fillId="2" borderId="106" xfId="0" applyFill="1" applyBorder="1" applyAlignment="1">
      <alignment vertical="top" wrapText="1"/>
    </xf>
    <xf numFmtId="0" fontId="0" fillId="2" borderId="106" xfId="0" applyFill="1" applyBorder="1" applyAlignment="1">
      <alignment horizontal="left" vertical="top" wrapText="1"/>
    </xf>
    <xf numFmtId="0" fontId="0" fillId="2" borderId="107" xfId="0" applyFill="1" applyBorder="1" applyAlignment="1">
      <alignment vertical="top" wrapText="1"/>
    </xf>
    <xf numFmtId="0" fontId="0" fillId="0" borderId="108" xfId="0" applyBorder="1" applyAlignment="1">
      <alignment vertical="top" wrapText="1"/>
    </xf>
    <xf numFmtId="0" fontId="0" fillId="6" borderId="0" xfId="0" applyFill="1" applyAlignment="1">
      <alignment vertical="center"/>
    </xf>
    <xf numFmtId="0" fontId="0" fillId="6" borderId="0" xfId="0" applyFill="1" applyAlignment="1" quotePrefix="1">
      <alignment horizontal="center" vertical="center"/>
    </xf>
    <xf numFmtId="0" fontId="0" fillId="2" borderId="98" xfId="0" applyFill="1" applyBorder="1" applyAlignment="1">
      <alignment horizontal="left" vertical="top" wrapText="1"/>
    </xf>
    <xf numFmtId="0" fontId="0" fillId="6" borderId="0" xfId="0" applyFill="1" applyAlignment="1" quotePrefix="1">
      <alignment vertical="top" wrapText="1"/>
    </xf>
    <xf numFmtId="0" fontId="0" fillId="6" borderId="0" xfId="0" applyFill="1" applyAlignment="1">
      <alignment vertical="top" wrapText="1"/>
    </xf>
    <xf numFmtId="0" fontId="0" fillId="6" borderId="28" xfId="0" applyFill="1" applyBorder="1" applyAlignment="1" quotePrefix="1">
      <alignment horizontal="left" vertical="center"/>
    </xf>
    <xf numFmtId="0" fontId="0" fillId="6" borderId="28" xfId="0" applyFill="1" applyBorder="1" applyAlignment="1">
      <alignment horizontal="left" vertical="center"/>
    </xf>
    <xf numFmtId="0" fontId="0" fillId="6" borderId="31" xfId="0" applyFill="1" applyBorder="1" applyAlignment="1" quotePrefix="1">
      <alignment horizontal="left" vertical="center"/>
    </xf>
    <xf numFmtId="0" fontId="0" fillId="6" borderId="31" xfId="0" applyFill="1" applyBorder="1" applyAlignment="1">
      <alignment horizontal="left" vertical="center"/>
    </xf>
    <xf numFmtId="14" fontId="0" fillId="11" borderId="25" xfId="0" applyNumberFormat="1" applyFill="1" applyBorder="1" applyAlignment="1">
      <alignment horizontal="center" vertical="center"/>
    </xf>
    <xf numFmtId="0" fontId="0" fillId="0" borderId="0" xfId="0" applyAlignment="1">
      <alignment horizontal="right" vertical="center" wrapText="1"/>
    </xf>
    <xf numFmtId="0" fontId="0" fillId="0" borderId="0" xfId="0" applyAlignment="1">
      <alignment horizontal="right" vertical="center"/>
    </xf>
    <xf numFmtId="0" fontId="10" fillId="2" borderId="0" xfId="0" applyFont="1" applyFill="1" applyAlignment="1">
      <alignment vertical="top" wrapText="1"/>
    </xf>
    <xf numFmtId="0" fontId="10" fillId="2" borderId="0" xfId="0" applyFont="1" applyFill="1" applyAlignment="1">
      <alignment vertical="center" wrapText="1"/>
    </xf>
    <xf numFmtId="0" fontId="0" fillId="2" borderId="0" xfId="0" applyFill="1" applyAlignment="1">
      <alignment vertical="center" wrapText="1"/>
    </xf>
    <xf numFmtId="0" fontId="10" fillId="2" borderId="109" xfId="0" applyFont="1" applyFill="1" applyBorder="1" applyAlignment="1">
      <alignment vertical="top" wrapText="1"/>
    </xf>
    <xf numFmtId="0" fontId="10" fillId="2" borderId="109" xfId="0" applyFont="1" applyFill="1" applyBorder="1" applyAlignment="1">
      <alignment vertical="center" wrapText="1"/>
    </xf>
    <xf numFmtId="0" fontId="0" fillId="3" borderId="97" xfId="0" applyFill="1" applyBorder="1" applyAlignment="1">
      <alignment vertical="center"/>
    </xf>
    <xf numFmtId="0" fontId="0" fillId="3" borderId="0" xfId="0" applyFill="1" applyBorder="1" applyAlignment="1">
      <alignment vertical="center"/>
    </xf>
    <xf numFmtId="0" fontId="0" fillId="2" borderId="110" xfId="0" applyFill="1" applyBorder="1" applyAlignment="1">
      <alignment vertical="center"/>
    </xf>
    <xf numFmtId="0" fontId="0" fillId="2" borderId="0" xfId="0" applyFill="1" applyBorder="1" applyAlignment="1">
      <alignment vertical="center"/>
    </xf>
    <xf numFmtId="0" fontId="0" fillId="6" borderId="45" xfId="0" applyFill="1" applyBorder="1" applyAlignment="1">
      <alignment horizontal="center" vertical="center"/>
    </xf>
    <xf numFmtId="0" fontId="0" fillId="6" borderId="44" xfId="0" applyFill="1" applyBorder="1" applyAlignment="1">
      <alignment horizontal="center" vertical="center"/>
    </xf>
    <xf numFmtId="0" fontId="0" fillId="6" borderId="111" xfId="0" applyFill="1" applyBorder="1" applyAlignment="1" quotePrefix="1">
      <alignment vertical="center"/>
    </xf>
    <xf numFmtId="0" fontId="0" fillId="0" borderId="112" xfId="0" applyBorder="1" applyAlignment="1">
      <alignment vertical="center"/>
    </xf>
    <xf numFmtId="0" fontId="0" fillId="6" borderId="113" xfId="0" applyFill="1" applyBorder="1" applyAlignment="1" quotePrefix="1">
      <alignment vertical="center"/>
    </xf>
    <xf numFmtId="0" fontId="0" fillId="0" borderId="114"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6085;&#20184;&#26178;&#21051;&#38306;&#25968;Index!A1" /></Relationships>
</file>

<file path=xl/drawings/_rels/drawing10.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hyperlink" Target="#MINUTE&#38306;&#25968;!B1" /></Relationships>
</file>

<file path=xl/drawings/_rels/drawing11.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image" Target="../media/image13.emf" /><Relationship Id="rId3" Type="http://schemas.openxmlformats.org/officeDocument/2006/relationships/hyperlink" Target="#SECOND&#38306;&#25968;!B1" /></Relationships>
</file>

<file path=xl/drawings/_rels/drawing12.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image" Target="../media/image17.emf" /><Relationship Id="rId3" Type="http://schemas.openxmlformats.org/officeDocument/2006/relationships/hyperlink" Target="#WEEKDAY&#38306;&#25968;!B1" /></Relationships>
</file>

<file path=xl/drawings/_rels/drawing13.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image" Target="../media/image6.emf" /><Relationship Id="rId3" Type="http://schemas.openxmlformats.org/officeDocument/2006/relationships/hyperlink" Target="#WEEKNUM&#38306;&#25968;!B1" /></Relationships>
</file>

<file path=xl/drawings/_rels/drawing14.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image" Target="../media/image19.emf" /><Relationship Id="rId3" Type="http://schemas.openxmlformats.org/officeDocument/2006/relationships/hyperlink" Target="#TODAY&#38306;&#25968;!B1" /></Relationships>
</file>

<file path=xl/drawings/_rels/drawing15.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image" Target="../media/image3.emf" /><Relationship Id="rId3" Type="http://schemas.openxmlformats.org/officeDocument/2006/relationships/hyperlink" Target="#NOW&#38306;&#25968;!B1" /></Relationships>
</file>

<file path=xl/drawings/_rels/drawing16.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hyperlink" Target="#DATE&#38306;&#25968;!B1" /><Relationship Id="rId3" Type="http://schemas.openxmlformats.org/officeDocument/2006/relationships/hyperlink" Target="#DATE&#38306;&#25968;!B1" /></Relationships>
</file>

<file path=xl/drawings/_rels/drawing17.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image" Target="../media/image2.jpeg" /><Relationship Id="rId3" Type="http://schemas.openxmlformats.org/officeDocument/2006/relationships/hyperlink" Target="#TIME&#38306;&#25968;!B1" /></Relationships>
</file>

<file path=xl/drawings/_rels/drawing18.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hyperlink" Target="#DATEVALUE&#38306;&#25968;!B1" /></Relationships>
</file>

<file path=xl/drawings/_rels/drawing19.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hyperlink" Target="#TIMEVALUE&#38306;&#25968;!B1" /></Relationships>
</file>

<file path=xl/drawings/_rels/drawing2.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image" Target="../media/image21.jpeg" /></Relationships>
</file>

<file path=xl/drawings/_rels/drawing20.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hyperlink" Target="#EDATE&#38306;&#25968;!B1" /></Relationships>
</file>

<file path=xl/drawings/_rels/drawing21.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hyperlink" Target="#EOMONTH&#38306;&#25968;!B1" /></Relationships>
</file>

<file path=xl/drawings/_rels/drawing22.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hyperlink" Target="#WORKDAY&#38306;&#25968;!B1" /><Relationship Id="rId3" Type="http://schemas.openxmlformats.org/officeDocument/2006/relationships/hyperlink" Target="#WORKDAY&#38306;&#25968;!B1" /><Relationship Id="rId4" Type="http://schemas.openxmlformats.org/officeDocument/2006/relationships/hyperlink" Target="#WORKDAY&#38306;&#25968;!B1" /><Relationship Id="rId5" Type="http://schemas.openxmlformats.org/officeDocument/2006/relationships/hyperlink" Target="#WORKDAY&#38306;&#25968;!B1" /></Relationships>
</file>

<file path=xl/drawings/_rels/drawing23.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hyperlink" Target="#NETWORKDAYS&#38306;&#25968;!B1" /><Relationship Id="rId3" Type="http://schemas.openxmlformats.org/officeDocument/2006/relationships/hyperlink" Target="#NETWORKDAYS&#38306;&#25968;!B1" /></Relationships>
</file>

<file path=xl/drawings/_rels/drawing24.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hyperlink" Target="#DAYS360&#38306;&#25968;!B1" /></Relationships>
</file>

<file path=xl/drawings/_rels/drawing25.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hyperlink" Target="#YEARFRAC&#38306;&#25968;!B1" /></Relationships>
</file>

<file path=xl/drawings/_rels/drawing26.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hyperlink" Target="#DATEDIF&#38306;&#25968;!B1" /></Relationships>
</file>

<file path=xl/drawings/_rels/drawing27.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hyperlink" Target="#DATESTRING&#38306;&#25968;!B1" /></Relationships>
</file>

<file path=xl/drawings/_rels/drawing3.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hyperlink" Target="#&#26085;&#20184;&#12398;&#35336;&#31639;!B1" /><Relationship Id="rId3" Type="http://schemas.openxmlformats.org/officeDocument/2006/relationships/hyperlink" Target="#&#26085;&#20184;&#12398;&#35336;&#31639;!B1" /><Relationship Id="rId4" Type="http://schemas.openxmlformats.org/officeDocument/2006/relationships/hyperlink" Target="#&#26085;&#20184;&#12398;&#35336;&#31639;!B1" /></Relationships>
</file>

<file path=xl/drawings/_rels/drawing4.xml.rels><?xml version="1.0" encoding="utf-8" standalone="yes"?><Relationships xmlns="http://schemas.openxmlformats.org/package/2006/relationships"><Relationship Id="rId1" Type="http://schemas.openxmlformats.org/officeDocument/2006/relationships/hyperlink" Target="#&#26085;&#20184;&#26178;&#21051;&#38306;&#25968;Index!A1" /></Relationships>
</file>

<file path=xl/drawings/_rels/drawing5.xml.rels><?xml version="1.0" encoding="utf-8" standalone="yes"?><Relationships xmlns="http://schemas.openxmlformats.org/package/2006/relationships"><Relationship Id="rId1" Type="http://schemas.openxmlformats.org/officeDocument/2006/relationships/hyperlink" Target="#&#26085;&#20184;&#26178;&#21051;&#38306;&#25968;Index!A1" /></Relationships>
</file>

<file path=xl/drawings/_rels/drawing6.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hyperlink" Target="#YEAR&#38306;&#25968;!B1" /></Relationships>
</file>

<file path=xl/drawings/_rels/drawing7.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hyperlink" Target="#MONTH&#38306;&#25968;!B1" /></Relationships>
</file>

<file path=xl/drawings/_rels/drawing8.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hyperlink" Target="#DAY&#38306;&#25968;!B1" /><Relationship Id="rId3" Type="http://schemas.openxmlformats.org/officeDocument/2006/relationships/image" Target="../media/image5.jpeg" /><Relationship Id="rId4" Type="http://schemas.openxmlformats.org/officeDocument/2006/relationships/hyperlink" Target="#DAY&#38306;&#25968;!B1" /><Relationship Id="rId5" Type="http://schemas.openxmlformats.org/officeDocument/2006/relationships/hyperlink" Target="#&#26085;&#20184;&#26178;&#21051;&#38306;&#25968;Index!A1" /></Relationships>
</file>

<file path=xl/drawings/_rels/drawing9.xml.rels><?xml version="1.0" encoding="utf-8" standalone="yes"?><Relationships xmlns="http://schemas.openxmlformats.org/package/2006/relationships"><Relationship Id="rId1" Type="http://schemas.openxmlformats.org/officeDocument/2006/relationships/hyperlink" Target="#&#26085;&#20184;&#26178;&#21051;&#38306;&#25968;Index!A1" /><Relationship Id="rId2" Type="http://schemas.openxmlformats.org/officeDocument/2006/relationships/hyperlink" Target="#HOUR&#38306;&#25968;!B1" /></Relationships>
</file>

<file path=xl/drawings/_rels/vmlDrawing4.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2.emf" /><Relationship Id="rId3" Type="http://schemas.openxmlformats.org/officeDocument/2006/relationships/image" Target="../media/image22.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4.emf" /><Relationship Id="rId7" Type="http://schemas.openxmlformats.org/officeDocument/2006/relationships/image" Target="../media/image18.emf" /><Relationship Id="rId8" Type="http://schemas.openxmlformats.org/officeDocument/2006/relationships/image" Target="../media/image16.emf" /><Relationship Id="rId9" Type="http://schemas.openxmlformats.org/officeDocument/2006/relationships/image" Target="../media/image1.emf" /><Relationship Id="rId10" Type="http://schemas.openxmlformats.org/officeDocument/2006/relationships/image" Target="../media/image11.emf" /><Relationship Id="rId11" Type="http://schemas.openxmlformats.org/officeDocument/2006/relationships/image" Target="../media/image9.emf" /><Relationship Id="rId12" Type="http://schemas.openxmlformats.org/officeDocument/2006/relationships/image" Target="../media/image10.emf" /><Relationship Id="rId13" Type="http://schemas.openxmlformats.org/officeDocument/2006/relationships/image" Target="../media/image20.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352425</xdr:colOff>
      <xdr:row>46</xdr:row>
      <xdr:rowOff>304800</xdr:rowOff>
    </xdr:to>
    <xdr:sp>
      <xdr:nvSpPr>
        <xdr:cNvPr id="1" name="AutoShape 5">
          <a:hlinkClick r:id="rId1"/>
        </xdr:cNvPr>
        <xdr:cNvSpPr>
          <a:spLocks/>
        </xdr:cNvSpPr>
      </xdr:nvSpPr>
      <xdr:spPr>
        <a:xfrm>
          <a:off x="19050" y="9153525"/>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32</xdr:row>
      <xdr:rowOff>57150</xdr:rowOff>
    </xdr:from>
    <xdr:to>
      <xdr:col>0</xdr:col>
      <xdr:colOff>409575</xdr:colOff>
      <xdr:row>33</xdr:row>
      <xdr:rowOff>142875</xdr:rowOff>
    </xdr:to>
    <xdr:sp>
      <xdr:nvSpPr>
        <xdr:cNvPr id="2" name="AutoShape 2">
          <a:hlinkClick r:id="rId2"/>
        </xdr:cNvPr>
        <xdr:cNvSpPr>
          <a:spLocks/>
        </xdr:cNvSpPr>
      </xdr:nvSpPr>
      <xdr:spPr>
        <a:xfrm>
          <a:off x="76200" y="638175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editAs="oneCell">
    <xdr:from>
      <xdr:col>4</xdr:col>
      <xdr:colOff>457200</xdr:colOff>
      <xdr:row>35</xdr:row>
      <xdr:rowOff>66675</xdr:rowOff>
    </xdr:from>
    <xdr:to>
      <xdr:col>4</xdr:col>
      <xdr:colOff>1152525</xdr:colOff>
      <xdr:row>36</xdr:row>
      <xdr:rowOff>152400</xdr:rowOff>
    </xdr:to>
    <xdr:pic>
      <xdr:nvPicPr>
        <xdr:cNvPr id="2" name="CommandButton1"/>
        <xdr:cNvPicPr preferRelativeResize="1">
          <a:picLocks noChangeAspect="1"/>
        </xdr:cNvPicPr>
      </xdr:nvPicPr>
      <xdr:blipFill>
        <a:blip r:embed="rId2"/>
        <a:stretch>
          <a:fillRect/>
        </a:stretch>
      </xdr:blipFill>
      <xdr:spPr>
        <a:xfrm>
          <a:off x="5572125" y="6905625"/>
          <a:ext cx="695325" cy="257175"/>
        </a:xfrm>
        <a:prstGeom prst="rect">
          <a:avLst/>
        </a:prstGeom>
        <a:noFill/>
        <a:ln w="9525" cmpd="sng">
          <a:noFill/>
        </a:ln>
      </xdr:spPr>
    </xdr:pic>
    <xdr:clientData/>
  </xdr:twoCellAnchor>
  <xdr:twoCellAnchor>
    <xdr:from>
      <xdr:col>0</xdr:col>
      <xdr:colOff>76200</xdr:colOff>
      <xdr:row>33</xdr:row>
      <xdr:rowOff>57150</xdr:rowOff>
    </xdr:from>
    <xdr:to>
      <xdr:col>0</xdr:col>
      <xdr:colOff>409575</xdr:colOff>
      <xdr:row>34</xdr:row>
      <xdr:rowOff>142875</xdr:rowOff>
    </xdr:to>
    <xdr:sp>
      <xdr:nvSpPr>
        <xdr:cNvPr id="3" name="AutoShape 3">
          <a:hlinkClick r:id="rId3"/>
        </xdr:cNvPr>
        <xdr:cNvSpPr>
          <a:spLocks/>
        </xdr:cNvSpPr>
      </xdr:nvSpPr>
      <xdr:spPr>
        <a:xfrm>
          <a:off x="76200" y="655320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editAs="oneCell">
    <xdr:from>
      <xdr:col>4</xdr:col>
      <xdr:colOff>457200</xdr:colOff>
      <xdr:row>38</xdr:row>
      <xdr:rowOff>66675</xdr:rowOff>
    </xdr:from>
    <xdr:to>
      <xdr:col>4</xdr:col>
      <xdr:colOff>1152525</xdr:colOff>
      <xdr:row>39</xdr:row>
      <xdr:rowOff>152400</xdr:rowOff>
    </xdr:to>
    <xdr:pic>
      <xdr:nvPicPr>
        <xdr:cNvPr id="2" name="CommandButton1"/>
        <xdr:cNvPicPr preferRelativeResize="1">
          <a:picLocks noChangeAspect="1"/>
        </xdr:cNvPicPr>
      </xdr:nvPicPr>
      <xdr:blipFill>
        <a:blip r:embed="rId2"/>
        <a:stretch>
          <a:fillRect/>
        </a:stretch>
      </xdr:blipFill>
      <xdr:spPr>
        <a:xfrm>
          <a:off x="5572125" y="7353300"/>
          <a:ext cx="695325" cy="257175"/>
        </a:xfrm>
        <a:prstGeom prst="rect">
          <a:avLst/>
        </a:prstGeom>
        <a:noFill/>
        <a:ln w="9525" cmpd="sng">
          <a:noFill/>
        </a:ln>
      </xdr:spPr>
    </xdr:pic>
    <xdr:clientData/>
  </xdr:twoCellAnchor>
  <xdr:twoCellAnchor>
    <xdr:from>
      <xdr:col>0</xdr:col>
      <xdr:colOff>76200</xdr:colOff>
      <xdr:row>37</xdr:row>
      <xdr:rowOff>85725</xdr:rowOff>
    </xdr:from>
    <xdr:to>
      <xdr:col>0</xdr:col>
      <xdr:colOff>409575</xdr:colOff>
      <xdr:row>39</xdr:row>
      <xdr:rowOff>0</xdr:rowOff>
    </xdr:to>
    <xdr:sp>
      <xdr:nvSpPr>
        <xdr:cNvPr id="3" name="AutoShape 5">
          <a:hlinkClick r:id="rId3"/>
        </xdr:cNvPr>
        <xdr:cNvSpPr>
          <a:spLocks/>
        </xdr:cNvSpPr>
      </xdr:nvSpPr>
      <xdr:spPr>
        <a:xfrm>
          <a:off x="76200" y="720090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twoCellAnchor>
    <xdr:from>
      <xdr:col>0</xdr:col>
      <xdr:colOff>523875</xdr:colOff>
      <xdr:row>46</xdr:row>
      <xdr:rowOff>57150</xdr:rowOff>
    </xdr:from>
    <xdr:to>
      <xdr:col>2</xdr:col>
      <xdr:colOff>790575</xdr:colOff>
      <xdr:row>47</xdr:row>
      <xdr:rowOff>133350</xdr:rowOff>
    </xdr:to>
    <xdr:sp>
      <xdr:nvSpPr>
        <xdr:cNvPr id="4" name="AutoShape 6"/>
        <xdr:cNvSpPr>
          <a:spLocks/>
        </xdr:cNvSpPr>
      </xdr:nvSpPr>
      <xdr:spPr>
        <a:xfrm>
          <a:off x="523875" y="8734425"/>
          <a:ext cx="2428875" cy="247650"/>
        </a:xfrm>
        <a:prstGeom prst="borderCallout2">
          <a:avLst>
            <a:gd name="adj1" fmla="val 68824"/>
            <a:gd name="adj2" fmla="val -130768"/>
            <a:gd name="adj3" fmla="val 68037"/>
            <a:gd name="adj4" fmla="val -3847"/>
            <a:gd name="adj5" fmla="val 53138"/>
            <a:gd name="adj6" fmla="val -3847"/>
            <a:gd name="adj7" fmla="val 57842"/>
            <a:gd name="adj8" fmla="val -157694"/>
          </a:avLst>
        </a:prstGeom>
        <a:solidFill>
          <a:srgbClr val="FFCC99"/>
        </a:solidFill>
        <a:ln w="9525" cmpd="sng">
          <a:solidFill>
            <a:srgbClr val="993300"/>
          </a:solidFill>
          <a:headEnd type="triangle"/>
          <a:tailEnd type="none"/>
        </a:ln>
      </xdr:spPr>
      <xdr:txBody>
        <a:bodyPr vertOverflow="clip" wrap="square"/>
        <a:p>
          <a:pPr algn="l">
            <a:defRPr/>
          </a:pPr>
          <a:r>
            <a:rPr lang="en-US" cap="none" sz="900" b="0" i="0" u="none" baseline="0">
              <a:latin typeface="ＭＳ Ｐゴシック"/>
              <a:ea typeface="ＭＳ Ｐゴシック"/>
              <a:cs typeface="ＭＳ Ｐゴシック"/>
            </a:rPr>
            <a:t>=VLOOKUP(WEEKDAY(B45),D44:E51,2,FALSE)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editAs="oneCell">
    <xdr:from>
      <xdr:col>0</xdr:col>
      <xdr:colOff>19050</xdr:colOff>
      <xdr:row>41</xdr:row>
      <xdr:rowOff>85725</xdr:rowOff>
    </xdr:from>
    <xdr:to>
      <xdr:col>1</xdr:col>
      <xdr:colOff>28575</xdr:colOff>
      <xdr:row>43</xdr:row>
      <xdr:rowOff>0</xdr:rowOff>
    </xdr:to>
    <xdr:pic>
      <xdr:nvPicPr>
        <xdr:cNvPr id="2" name="CommandButton1"/>
        <xdr:cNvPicPr preferRelativeResize="1">
          <a:picLocks noChangeAspect="1"/>
        </xdr:cNvPicPr>
      </xdr:nvPicPr>
      <xdr:blipFill>
        <a:blip r:embed="rId2"/>
        <a:stretch>
          <a:fillRect/>
        </a:stretch>
      </xdr:blipFill>
      <xdr:spPr>
        <a:xfrm>
          <a:off x="19050" y="7924800"/>
          <a:ext cx="695325" cy="257175"/>
        </a:xfrm>
        <a:prstGeom prst="rect">
          <a:avLst/>
        </a:prstGeom>
        <a:noFill/>
        <a:ln w="9525" cmpd="sng">
          <a:noFill/>
        </a:ln>
      </xdr:spPr>
    </xdr:pic>
    <xdr:clientData/>
  </xdr:twoCellAnchor>
  <xdr:twoCellAnchor>
    <xdr:from>
      <xdr:col>0</xdr:col>
      <xdr:colOff>76200</xdr:colOff>
      <xdr:row>31</xdr:row>
      <xdr:rowOff>66675</xdr:rowOff>
    </xdr:from>
    <xdr:to>
      <xdr:col>0</xdr:col>
      <xdr:colOff>409575</xdr:colOff>
      <xdr:row>32</xdr:row>
      <xdr:rowOff>114300</xdr:rowOff>
    </xdr:to>
    <xdr:sp>
      <xdr:nvSpPr>
        <xdr:cNvPr id="3" name="AutoShape 4">
          <a:hlinkClick r:id="rId3"/>
        </xdr:cNvPr>
        <xdr:cNvSpPr>
          <a:spLocks/>
        </xdr:cNvSpPr>
      </xdr:nvSpPr>
      <xdr:spPr>
        <a:xfrm>
          <a:off x="76200" y="607695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4">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editAs="oneCell">
    <xdr:from>
      <xdr:col>4</xdr:col>
      <xdr:colOff>285750</xdr:colOff>
      <xdr:row>0</xdr:row>
      <xdr:rowOff>85725</xdr:rowOff>
    </xdr:from>
    <xdr:to>
      <xdr:col>4</xdr:col>
      <xdr:colOff>981075</xdr:colOff>
      <xdr:row>0</xdr:row>
      <xdr:rowOff>342900</xdr:rowOff>
    </xdr:to>
    <xdr:pic>
      <xdr:nvPicPr>
        <xdr:cNvPr id="2" name="CommandButton1"/>
        <xdr:cNvPicPr preferRelativeResize="1">
          <a:picLocks noChangeAspect="1"/>
        </xdr:cNvPicPr>
      </xdr:nvPicPr>
      <xdr:blipFill>
        <a:blip r:embed="rId2"/>
        <a:stretch>
          <a:fillRect/>
        </a:stretch>
      </xdr:blipFill>
      <xdr:spPr>
        <a:xfrm>
          <a:off x="5400675" y="85725"/>
          <a:ext cx="695325" cy="257175"/>
        </a:xfrm>
        <a:prstGeom prst="rect">
          <a:avLst/>
        </a:prstGeom>
        <a:noFill/>
        <a:ln w="9525" cmpd="sng">
          <a:noFill/>
        </a:ln>
      </xdr:spPr>
    </xdr:pic>
    <xdr:clientData/>
  </xdr:twoCellAnchor>
  <xdr:twoCellAnchor>
    <xdr:from>
      <xdr:col>0</xdr:col>
      <xdr:colOff>85725</xdr:colOff>
      <xdr:row>27</xdr:row>
      <xdr:rowOff>76200</xdr:rowOff>
    </xdr:from>
    <xdr:to>
      <xdr:col>0</xdr:col>
      <xdr:colOff>419100</xdr:colOff>
      <xdr:row>28</xdr:row>
      <xdr:rowOff>123825</xdr:rowOff>
    </xdr:to>
    <xdr:sp>
      <xdr:nvSpPr>
        <xdr:cNvPr id="3" name="AutoShape 8">
          <a:hlinkClick r:id="rId3"/>
        </xdr:cNvPr>
        <xdr:cNvSpPr>
          <a:spLocks/>
        </xdr:cNvSpPr>
      </xdr:nvSpPr>
      <xdr:spPr>
        <a:xfrm>
          <a:off x="85725" y="558165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editAs="oneCell">
    <xdr:from>
      <xdr:col>4</xdr:col>
      <xdr:colOff>285750</xdr:colOff>
      <xdr:row>0</xdr:row>
      <xdr:rowOff>85725</xdr:rowOff>
    </xdr:from>
    <xdr:to>
      <xdr:col>4</xdr:col>
      <xdr:colOff>981075</xdr:colOff>
      <xdr:row>0</xdr:row>
      <xdr:rowOff>342900</xdr:rowOff>
    </xdr:to>
    <xdr:pic>
      <xdr:nvPicPr>
        <xdr:cNvPr id="2" name="CommandButton1"/>
        <xdr:cNvPicPr preferRelativeResize="1">
          <a:picLocks noChangeAspect="1"/>
        </xdr:cNvPicPr>
      </xdr:nvPicPr>
      <xdr:blipFill>
        <a:blip r:embed="rId2"/>
        <a:stretch>
          <a:fillRect/>
        </a:stretch>
      </xdr:blipFill>
      <xdr:spPr>
        <a:xfrm>
          <a:off x="5400675" y="85725"/>
          <a:ext cx="695325" cy="257175"/>
        </a:xfrm>
        <a:prstGeom prst="rect">
          <a:avLst/>
        </a:prstGeom>
        <a:noFill/>
        <a:ln w="9525" cmpd="sng">
          <a:noFill/>
        </a:ln>
      </xdr:spPr>
    </xdr:pic>
    <xdr:clientData/>
  </xdr:twoCellAnchor>
  <xdr:twoCellAnchor>
    <xdr:from>
      <xdr:col>0</xdr:col>
      <xdr:colOff>76200</xdr:colOff>
      <xdr:row>34</xdr:row>
      <xdr:rowOff>66675</xdr:rowOff>
    </xdr:from>
    <xdr:to>
      <xdr:col>0</xdr:col>
      <xdr:colOff>409575</xdr:colOff>
      <xdr:row>35</xdr:row>
      <xdr:rowOff>152400</xdr:rowOff>
    </xdr:to>
    <xdr:sp>
      <xdr:nvSpPr>
        <xdr:cNvPr id="3" name="AutoShape 4">
          <a:hlinkClick r:id="rId3"/>
        </xdr:cNvPr>
        <xdr:cNvSpPr>
          <a:spLocks/>
        </xdr:cNvSpPr>
      </xdr:nvSpPr>
      <xdr:spPr>
        <a:xfrm>
          <a:off x="76200" y="6753225"/>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7">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39</xdr:row>
      <xdr:rowOff>57150</xdr:rowOff>
    </xdr:from>
    <xdr:to>
      <xdr:col>0</xdr:col>
      <xdr:colOff>409575</xdr:colOff>
      <xdr:row>40</xdr:row>
      <xdr:rowOff>133350</xdr:rowOff>
    </xdr:to>
    <xdr:sp>
      <xdr:nvSpPr>
        <xdr:cNvPr id="2" name="AutoShape 8">
          <a:hlinkClick r:id="rId2"/>
        </xdr:cNvPr>
        <xdr:cNvSpPr>
          <a:spLocks/>
        </xdr:cNvSpPr>
      </xdr:nvSpPr>
      <xdr:spPr>
        <a:xfrm>
          <a:off x="76200" y="765810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twoCellAnchor>
    <xdr:from>
      <xdr:col>0</xdr:col>
      <xdr:colOff>76200</xdr:colOff>
      <xdr:row>75</xdr:row>
      <xdr:rowOff>57150</xdr:rowOff>
    </xdr:from>
    <xdr:to>
      <xdr:col>0</xdr:col>
      <xdr:colOff>409575</xdr:colOff>
      <xdr:row>76</xdr:row>
      <xdr:rowOff>142875</xdr:rowOff>
    </xdr:to>
    <xdr:sp>
      <xdr:nvSpPr>
        <xdr:cNvPr id="3" name="AutoShape 9">
          <a:hlinkClick r:id="rId3"/>
        </xdr:cNvPr>
        <xdr:cNvSpPr>
          <a:spLocks/>
        </xdr:cNvSpPr>
      </xdr:nvSpPr>
      <xdr:spPr>
        <a:xfrm>
          <a:off x="76200" y="1384935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4">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editAs="oneCell">
    <xdr:from>
      <xdr:col>1</xdr:col>
      <xdr:colOff>0</xdr:colOff>
      <xdr:row>45</xdr:row>
      <xdr:rowOff>76200</xdr:rowOff>
    </xdr:from>
    <xdr:to>
      <xdr:col>4</xdr:col>
      <xdr:colOff>1076325</xdr:colOff>
      <xdr:row>50</xdr:row>
      <xdr:rowOff>66675</xdr:rowOff>
    </xdr:to>
    <xdr:pic>
      <xdr:nvPicPr>
        <xdr:cNvPr id="2" name="Picture 5"/>
        <xdr:cNvPicPr preferRelativeResize="1">
          <a:picLocks noChangeAspect="1"/>
        </xdr:cNvPicPr>
      </xdr:nvPicPr>
      <xdr:blipFill>
        <a:blip r:embed="rId2"/>
        <a:stretch>
          <a:fillRect/>
        </a:stretch>
      </xdr:blipFill>
      <xdr:spPr>
        <a:xfrm>
          <a:off x="685800" y="8667750"/>
          <a:ext cx="5505450" cy="847725"/>
        </a:xfrm>
        <a:prstGeom prst="rect">
          <a:avLst/>
        </a:prstGeom>
        <a:noFill/>
        <a:ln w="9525" cmpd="sng">
          <a:noFill/>
        </a:ln>
      </xdr:spPr>
    </xdr:pic>
    <xdr:clientData/>
  </xdr:twoCellAnchor>
  <xdr:twoCellAnchor>
    <xdr:from>
      <xdr:col>0</xdr:col>
      <xdr:colOff>142875</xdr:colOff>
      <xdr:row>36</xdr:row>
      <xdr:rowOff>9525</xdr:rowOff>
    </xdr:from>
    <xdr:to>
      <xdr:col>0</xdr:col>
      <xdr:colOff>476250</xdr:colOff>
      <xdr:row>37</xdr:row>
      <xdr:rowOff>95250</xdr:rowOff>
    </xdr:to>
    <xdr:sp>
      <xdr:nvSpPr>
        <xdr:cNvPr id="3" name="AutoShape 7">
          <a:hlinkClick r:id="rId3"/>
        </xdr:cNvPr>
        <xdr:cNvSpPr>
          <a:spLocks/>
        </xdr:cNvSpPr>
      </xdr:nvSpPr>
      <xdr:spPr>
        <a:xfrm>
          <a:off x="142875" y="702945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35</xdr:row>
      <xdr:rowOff>57150</xdr:rowOff>
    </xdr:from>
    <xdr:to>
      <xdr:col>0</xdr:col>
      <xdr:colOff>409575</xdr:colOff>
      <xdr:row>36</xdr:row>
      <xdr:rowOff>104775</xdr:rowOff>
    </xdr:to>
    <xdr:sp>
      <xdr:nvSpPr>
        <xdr:cNvPr id="2" name="AutoShape 2">
          <a:hlinkClick r:id="rId2"/>
        </xdr:cNvPr>
        <xdr:cNvSpPr>
          <a:spLocks/>
        </xdr:cNvSpPr>
      </xdr:nvSpPr>
      <xdr:spPr>
        <a:xfrm>
          <a:off x="76200" y="704850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28575</xdr:colOff>
      <xdr:row>36</xdr:row>
      <xdr:rowOff>114300</xdr:rowOff>
    </xdr:from>
    <xdr:to>
      <xdr:col>0</xdr:col>
      <xdr:colOff>361950</xdr:colOff>
      <xdr:row>37</xdr:row>
      <xdr:rowOff>161925</xdr:rowOff>
    </xdr:to>
    <xdr:sp>
      <xdr:nvSpPr>
        <xdr:cNvPr id="2" name="AutoShape 2">
          <a:hlinkClick r:id="rId2"/>
        </xdr:cNvPr>
        <xdr:cNvSpPr>
          <a:spLocks/>
        </xdr:cNvSpPr>
      </xdr:nvSpPr>
      <xdr:spPr>
        <a:xfrm>
          <a:off x="28575" y="739140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fPrintsWithSheet="0"/>
  </xdr:twoCellAnchor>
  <xdr:twoCellAnchor editAs="oneCell">
    <xdr:from>
      <xdr:col>0</xdr:col>
      <xdr:colOff>561975</xdr:colOff>
      <xdr:row>77</xdr:row>
      <xdr:rowOff>85725</xdr:rowOff>
    </xdr:from>
    <xdr:to>
      <xdr:col>2</xdr:col>
      <xdr:colOff>1438275</xdr:colOff>
      <xdr:row>94</xdr:row>
      <xdr:rowOff>114300</xdr:rowOff>
    </xdr:to>
    <xdr:pic>
      <xdr:nvPicPr>
        <xdr:cNvPr id="2" name="Picture 10"/>
        <xdr:cNvPicPr preferRelativeResize="1">
          <a:picLocks noChangeAspect="1"/>
        </xdr:cNvPicPr>
      </xdr:nvPicPr>
      <xdr:blipFill>
        <a:blip r:embed="rId2"/>
        <a:stretch>
          <a:fillRect/>
        </a:stretch>
      </xdr:blipFill>
      <xdr:spPr>
        <a:xfrm>
          <a:off x="561975" y="13515975"/>
          <a:ext cx="3038475" cy="2943225"/>
        </a:xfrm>
        <a:prstGeom prst="rect">
          <a:avLst/>
        </a:prstGeom>
        <a:noFill/>
        <a:ln w="9525" cmpd="sng">
          <a:noFill/>
        </a:ln>
      </xdr:spPr>
    </xdr:pic>
    <xdr:clientData/>
  </xdr:twoCellAnchor>
  <xdr:twoCellAnchor>
    <xdr:from>
      <xdr:col>1</xdr:col>
      <xdr:colOff>1019175</xdr:colOff>
      <xdr:row>80</xdr:row>
      <xdr:rowOff>38100</xdr:rowOff>
    </xdr:from>
    <xdr:to>
      <xdr:col>2</xdr:col>
      <xdr:colOff>1266825</xdr:colOff>
      <xdr:row>87</xdr:row>
      <xdr:rowOff>123825</xdr:rowOff>
    </xdr:to>
    <xdr:sp>
      <xdr:nvSpPr>
        <xdr:cNvPr id="3" name="Rectangle 11"/>
        <xdr:cNvSpPr>
          <a:spLocks/>
        </xdr:cNvSpPr>
      </xdr:nvSpPr>
      <xdr:spPr>
        <a:xfrm>
          <a:off x="1704975" y="13982700"/>
          <a:ext cx="1724025" cy="1285875"/>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fPrintsWithSheet="0"/>
  </xdr:twoCellAnchor>
  <xdr:twoCellAnchor>
    <xdr:from>
      <xdr:col>0</xdr:col>
      <xdr:colOff>38100</xdr:colOff>
      <xdr:row>35</xdr:row>
      <xdr:rowOff>0</xdr:rowOff>
    </xdr:from>
    <xdr:to>
      <xdr:col>0</xdr:col>
      <xdr:colOff>371475</xdr:colOff>
      <xdr:row>36</xdr:row>
      <xdr:rowOff>47625</xdr:rowOff>
    </xdr:to>
    <xdr:sp>
      <xdr:nvSpPr>
        <xdr:cNvPr id="2" name="AutoShape 2">
          <a:hlinkClick r:id="rId2"/>
        </xdr:cNvPr>
        <xdr:cNvSpPr>
          <a:spLocks/>
        </xdr:cNvSpPr>
      </xdr:nvSpPr>
      <xdr:spPr>
        <a:xfrm>
          <a:off x="38100" y="699135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fPrint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fPrintsWithSheet="0"/>
  </xdr:twoCellAnchor>
  <xdr:twoCellAnchor>
    <xdr:from>
      <xdr:col>0</xdr:col>
      <xdr:colOff>28575</xdr:colOff>
      <xdr:row>52</xdr:row>
      <xdr:rowOff>38100</xdr:rowOff>
    </xdr:from>
    <xdr:to>
      <xdr:col>0</xdr:col>
      <xdr:colOff>361950</xdr:colOff>
      <xdr:row>53</xdr:row>
      <xdr:rowOff>85725</xdr:rowOff>
    </xdr:to>
    <xdr:sp>
      <xdr:nvSpPr>
        <xdr:cNvPr id="2" name="AutoShape 2">
          <a:hlinkClick r:id="rId2"/>
        </xdr:cNvPr>
        <xdr:cNvSpPr>
          <a:spLocks/>
        </xdr:cNvSpPr>
      </xdr:nvSpPr>
      <xdr:spPr>
        <a:xfrm>
          <a:off x="28575" y="1032510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fPrint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85725</xdr:colOff>
      <xdr:row>36</xdr:row>
      <xdr:rowOff>0</xdr:rowOff>
    </xdr:from>
    <xdr:to>
      <xdr:col>0</xdr:col>
      <xdr:colOff>419100</xdr:colOff>
      <xdr:row>37</xdr:row>
      <xdr:rowOff>47625</xdr:rowOff>
    </xdr:to>
    <xdr:sp>
      <xdr:nvSpPr>
        <xdr:cNvPr id="2" name="AutoShape 2">
          <a:hlinkClick r:id="rId2"/>
        </xdr:cNvPr>
        <xdr:cNvSpPr>
          <a:spLocks/>
        </xdr:cNvSpPr>
      </xdr:nvSpPr>
      <xdr:spPr>
        <a:xfrm>
          <a:off x="85725" y="716280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twoCellAnchor>
    <xdr:from>
      <xdr:col>0</xdr:col>
      <xdr:colOff>85725</xdr:colOff>
      <xdr:row>87</xdr:row>
      <xdr:rowOff>0</xdr:rowOff>
    </xdr:from>
    <xdr:to>
      <xdr:col>0</xdr:col>
      <xdr:colOff>419100</xdr:colOff>
      <xdr:row>88</xdr:row>
      <xdr:rowOff>85725</xdr:rowOff>
    </xdr:to>
    <xdr:sp>
      <xdr:nvSpPr>
        <xdr:cNvPr id="3" name="AutoShape 13">
          <a:hlinkClick r:id="rId3"/>
        </xdr:cNvPr>
        <xdr:cNvSpPr>
          <a:spLocks/>
        </xdr:cNvSpPr>
      </xdr:nvSpPr>
      <xdr:spPr>
        <a:xfrm>
          <a:off x="85725" y="1621155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twoCellAnchor>
    <xdr:from>
      <xdr:col>0</xdr:col>
      <xdr:colOff>85725</xdr:colOff>
      <xdr:row>122</xdr:row>
      <xdr:rowOff>0</xdr:rowOff>
    </xdr:from>
    <xdr:to>
      <xdr:col>0</xdr:col>
      <xdr:colOff>419100</xdr:colOff>
      <xdr:row>123</xdr:row>
      <xdr:rowOff>85725</xdr:rowOff>
    </xdr:to>
    <xdr:sp>
      <xdr:nvSpPr>
        <xdr:cNvPr id="4" name="AutoShape 14">
          <a:hlinkClick r:id="rId4"/>
        </xdr:cNvPr>
        <xdr:cNvSpPr>
          <a:spLocks/>
        </xdr:cNvSpPr>
      </xdr:nvSpPr>
      <xdr:spPr>
        <a:xfrm>
          <a:off x="85725" y="2221230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twoCellAnchor>
    <xdr:from>
      <xdr:col>0</xdr:col>
      <xdr:colOff>85725</xdr:colOff>
      <xdr:row>161</xdr:row>
      <xdr:rowOff>0</xdr:rowOff>
    </xdr:from>
    <xdr:to>
      <xdr:col>0</xdr:col>
      <xdr:colOff>419100</xdr:colOff>
      <xdr:row>162</xdr:row>
      <xdr:rowOff>85725</xdr:rowOff>
    </xdr:to>
    <xdr:sp>
      <xdr:nvSpPr>
        <xdr:cNvPr id="5" name="AutoShape 20">
          <a:hlinkClick r:id="rId5"/>
        </xdr:cNvPr>
        <xdr:cNvSpPr>
          <a:spLocks/>
        </xdr:cNvSpPr>
      </xdr:nvSpPr>
      <xdr:spPr>
        <a:xfrm>
          <a:off x="85725" y="2889885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35</xdr:row>
      <xdr:rowOff>57150</xdr:rowOff>
    </xdr:from>
    <xdr:to>
      <xdr:col>0</xdr:col>
      <xdr:colOff>409575</xdr:colOff>
      <xdr:row>36</xdr:row>
      <xdr:rowOff>142875</xdr:rowOff>
    </xdr:to>
    <xdr:sp>
      <xdr:nvSpPr>
        <xdr:cNvPr id="2" name="AutoShape 2">
          <a:hlinkClick r:id="rId2"/>
        </xdr:cNvPr>
        <xdr:cNvSpPr>
          <a:spLocks/>
        </xdr:cNvSpPr>
      </xdr:nvSpPr>
      <xdr:spPr>
        <a:xfrm>
          <a:off x="76200" y="702945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twoCellAnchor>
    <xdr:from>
      <xdr:col>0</xdr:col>
      <xdr:colOff>76200</xdr:colOff>
      <xdr:row>71</xdr:row>
      <xdr:rowOff>57150</xdr:rowOff>
    </xdr:from>
    <xdr:to>
      <xdr:col>0</xdr:col>
      <xdr:colOff>409575</xdr:colOff>
      <xdr:row>72</xdr:row>
      <xdr:rowOff>142875</xdr:rowOff>
    </xdr:to>
    <xdr:sp>
      <xdr:nvSpPr>
        <xdr:cNvPr id="3" name="AutoShape 4">
          <a:hlinkClick r:id="rId3"/>
        </xdr:cNvPr>
        <xdr:cNvSpPr>
          <a:spLocks/>
        </xdr:cNvSpPr>
      </xdr:nvSpPr>
      <xdr:spPr>
        <a:xfrm>
          <a:off x="76200" y="1320165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33</xdr:row>
      <xdr:rowOff>57150</xdr:rowOff>
    </xdr:from>
    <xdr:to>
      <xdr:col>0</xdr:col>
      <xdr:colOff>409575</xdr:colOff>
      <xdr:row>34</xdr:row>
      <xdr:rowOff>142875</xdr:rowOff>
    </xdr:to>
    <xdr:sp>
      <xdr:nvSpPr>
        <xdr:cNvPr id="2" name="AutoShape 2">
          <a:hlinkClick r:id="rId2"/>
        </xdr:cNvPr>
        <xdr:cNvSpPr>
          <a:spLocks/>
        </xdr:cNvSpPr>
      </xdr:nvSpPr>
      <xdr:spPr>
        <a:xfrm>
          <a:off x="76200" y="655320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47625</xdr:colOff>
      <xdr:row>36</xdr:row>
      <xdr:rowOff>9525</xdr:rowOff>
    </xdr:from>
    <xdr:to>
      <xdr:col>0</xdr:col>
      <xdr:colOff>381000</xdr:colOff>
      <xdr:row>37</xdr:row>
      <xdr:rowOff>57150</xdr:rowOff>
    </xdr:to>
    <xdr:sp>
      <xdr:nvSpPr>
        <xdr:cNvPr id="2" name="AutoShape 2">
          <a:hlinkClick r:id="rId2"/>
        </xdr:cNvPr>
        <xdr:cNvSpPr>
          <a:spLocks/>
        </xdr:cNvSpPr>
      </xdr:nvSpPr>
      <xdr:spPr>
        <a:xfrm>
          <a:off x="47625" y="7134225"/>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38</xdr:row>
      <xdr:rowOff>0</xdr:rowOff>
    </xdr:from>
    <xdr:to>
      <xdr:col>4</xdr:col>
      <xdr:colOff>647700</xdr:colOff>
      <xdr:row>45</xdr:row>
      <xdr:rowOff>0</xdr:rowOff>
    </xdr:to>
    <xdr:grpSp>
      <xdr:nvGrpSpPr>
        <xdr:cNvPr id="1" name="Group 14"/>
        <xdr:cNvGrpSpPr>
          <a:grpSpLocks/>
        </xdr:cNvGrpSpPr>
      </xdr:nvGrpSpPr>
      <xdr:grpSpPr>
        <a:xfrm>
          <a:off x="676275" y="8124825"/>
          <a:ext cx="5086350" cy="1200150"/>
          <a:chOff x="71" y="834"/>
          <a:chExt cx="534" cy="126"/>
        </a:xfrm>
        <a:solidFill>
          <a:srgbClr val="FFFFFF"/>
        </a:solidFill>
      </xdr:grpSpPr>
      <xdr:sp>
        <xdr:nvSpPr>
          <xdr:cNvPr id="2" name="Rectangle 1"/>
          <xdr:cNvSpPr>
            <a:spLocks/>
          </xdr:cNvSpPr>
        </xdr:nvSpPr>
        <xdr:spPr>
          <a:xfrm>
            <a:off x="71" y="834"/>
            <a:ext cx="534" cy="126"/>
          </a:xfrm>
          <a:prstGeom prst="rect">
            <a:avLst/>
          </a:prstGeom>
          <a:solidFill>
            <a:srgbClr val="FFFFFF"/>
          </a:solid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Group 13"/>
          <xdr:cNvGrpSpPr>
            <a:grpSpLocks/>
          </xdr:cNvGrpSpPr>
        </xdr:nvGrpSpPr>
        <xdr:grpSpPr>
          <a:xfrm>
            <a:off x="91" y="844"/>
            <a:ext cx="493" cy="103"/>
            <a:chOff x="91" y="844"/>
            <a:chExt cx="493" cy="103"/>
          </a:xfrm>
          <a:solidFill>
            <a:srgbClr val="FFFFFF"/>
          </a:solidFill>
        </xdr:grpSpPr>
        <xdr:grpSp>
          <xdr:nvGrpSpPr>
            <xdr:cNvPr id="4" name="Group 10"/>
            <xdr:cNvGrpSpPr>
              <a:grpSpLocks/>
            </xdr:cNvGrpSpPr>
          </xdr:nvGrpSpPr>
          <xdr:grpSpPr>
            <a:xfrm>
              <a:off x="91" y="848"/>
              <a:ext cx="296" cy="89"/>
              <a:chOff x="132" y="877"/>
              <a:chExt cx="296" cy="89"/>
            </a:xfrm>
            <a:solidFill>
              <a:srgbClr val="FFFFFF"/>
            </a:solidFill>
          </xdr:grpSpPr>
          <xdr:grpSp>
            <xdr:nvGrpSpPr>
              <xdr:cNvPr id="5" name="Group 5"/>
              <xdr:cNvGrpSpPr>
                <a:grpSpLocks/>
              </xdr:cNvGrpSpPr>
            </xdr:nvGrpSpPr>
            <xdr:grpSpPr>
              <a:xfrm>
                <a:off x="132" y="877"/>
                <a:ext cx="296" cy="35"/>
                <a:chOff x="132" y="877"/>
                <a:chExt cx="296" cy="35"/>
              </a:xfrm>
              <a:solidFill>
                <a:srgbClr val="FFFFFF"/>
              </a:solidFill>
            </xdr:grpSpPr>
            <xdr:sp>
              <xdr:nvSpPr>
                <xdr:cNvPr id="6" name="Line 2"/>
                <xdr:cNvSpPr>
                  <a:spLocks/>
                </xdr:cNvSpPr>
              </xdr:nvSpPr>
              <xdr:spPr>
                <a:xfrm>
                  <a:off x="161" y="912"/>
                  <a:ext cx="238" cy="0"/>
                </a:xfrm>
                <a:prstGeom prst="line">
                  <a:avLst/>
                </a:prstGeom>
                <a:noFill/>
                <a:ln w="19050" cmpd="sng">
                  <a:solidFill>
                    <a:srgbClr val="0000FF"/>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3"/>
                <xdr:cNvSpPr>
                  <a:spLocks/>
                </xdr:cNvSpPr>
              </xdr:nvSpPr>
              <xdr:spPr>
                <a:xfrm>
                  <a:off x="132" y="877"/>
                  <a:ext cx="57" cy="23"/>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開始日</a:t>
                  </a:r>
                </a:p>
              </xdr:txBody>
            </xdr:sp>
            <xdr:sp>
              <xdr:nvSpPr>
                <xdr:cNvPr id="8" name="Rectangle 4"/>
                <xdr:cNvSpPr>
                  <a:spLocks/>
                </xdr:cNvSpPr>
              </xdr:nvSpPr>
              <xdr:spPr>
                <a:xfrm>
                  <a:off x="371" y="878"/>
                  <a:ext cx="57" cy="23"/>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終了日</a:t>
                  </a:r>
                </a:p>
              </xdr:txBody>
            </xdr:sp>
          </xdr:grpSp>
          <xdr:sp>
            <xdr:nvSpPr>
              <xdr:cNvPr id="9" name="AutoShape 6"/>
              <xdr:cNvSpPr>
                <a:spLocks/>
              </xdr:cNvSpPr>
            </xdr:nvSpPr>
            <xdr:spPr>
              <a:xfrm>
                <a:off x="161" y="912"/>
                <a:ext cx="237" cy="40"/>
              </a:xfrm>
              <a:custGeom>
                <a:pathLst>
                  <a:path h="40" w="237">
                    <a:moveTo>
                      <a:pt x="0" y="0"/>
                    </a:moveTo>
                    <a:cubicBezTo>
                      <a:pt x="19" y="7"/>
                      <a:pt x="79" y="40"/>
                      <a:pt x="118" y="40"/>
                    </a:cubicBezTo>
                    <a:cubicBezTo>
                      <a:pt x="157" y="40"/>
                      <a:pt x="212" y="9"/>
                      <a:pt x="237" y="1"/>
                    </a:cubicBezTo>
                  </a:path>
                </a:pathLst>
              </a:cu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7"/>
              <xdr:cNvSpPr>
                <a:spLocks/>
              </xdr:cNvSpPr>
            </xdr:nvSpPr>
            <xdr:spPr>
              <a:xfrm>
                <a:off x="151" y="925"/>
                <a:ext cx="19" cy="21"/>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1</a:t>
                </a:r>
              </a:p>
            </xdr:txBody>
          </xdr:sp>
          <xdr:sp>
            <xdr:nvSpPr>
              <xdr:cNvPr id="11" name="Rectangle 8"/>
              <xdr:cNvSpPr>
                <a:spLocks/>
              </xdr:cNvSpPr>
            </xdr:nvSpPr>
            <xdr:spPr>
              <a:xfrm>
                <a:off x="389" y="924"/>
                <a:ext cx="19" cy="21"/>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2</a:t>
                </a:r>
              </a:p>
            </xdr:txBody>
          </xdr:sp>
          <xdr:sp>
            <xdr:nvSpPr>
              <xdr:cNvPr id="12" name="Rectangle 9"/>
              <xdr:cNvSpPr>
                <a:spLocks/>
              </xdr:cNvSpPr>
            </xdr:nvSpPr>
            <xdr:spPr>
              <a:xfrm>
                <a:off x="266" y="945"/>
                <a:ext cx="19" cy="21"/>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1</a:t>
                </a:r>
              </a:p>
            </xdr:txBody>
          </xdr:sp>
        </xdr:grpSp>
        <xdr:sp>
          <xdr:nvSpPr>
            <xdr:cNvPr id="13" name="Rectangle 11"/>
            <xdr:cNvSpPr>
              <a:spLocks/>
            </xdr:cNvSpPr>
          </xdr:nvSpPr>
          <xdr:spPr>
            <a:xfrm>
              <a:off x="404" y="844"/>
              <a:ext cx="180" cy="103"/>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DATEDIF関数は、開始日と終了日の「差」を求める関数です。終了日（当日）は計算結果に含まれません。
</a:t>
              </a:r>
            </a:p>
          </xdr:txBody>
        </xdr:sp>
      </xdr:grpSp>
    </xdr:grpSp>
    <xdr:clientData/>
  </xdr:twoCellAnchor>
  <xdr:twoCellAnchor>
    <xdr:from>
      <xdr:col>0</xdr:col>
      <xdr:colOff>76200</xdr:colOff>
      <xdr:row>0</xdr:row>
      <xdr:rowOff>47625</xdr:rowOff>
    </xdr:from>
    <xdr:to>
      <xdr:col>0</xdr:col>
      <xdr:colOff>609600</xdr:colOff>
      <xdr:row>0</xdr:row>
      <xdr:rowOff>381000</xdr:rowOff>
    </xdr:to>
    <xdr:sp>
      <xdr:nvSpPr>
        <xdr:cNvPr id="14" name="AutoShape 15">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fPrintsWithSheet="0"/>
  </xdr:twoCellAnchor>
  <xdr:twoCellAnchor>
    <xdr:from>
      <xdr:col>0</xdr:col>
      <xdr:colOff>85725</xdr:colOff>
      <xdr:row>45</xdr:row>
      <xdr:rowOff>123825</xdr:rowOff>
    </xdr:from>
    <xdr:to>
      <xdr:col>0</xdr:col>
      <xdr:colOff>419100</xdr:colOff>
      <xdr:row>47</xdr:row>
      <xdr:rowOff>38100</xdr:rowOff>
    </xdr:to>
    <xdr:sp>
      <xdr:nvSpPr>
        <xdr:cNvPr id="15" name="AutoShape 16">
          <a:hlinkClick r:id="rId2"/>
        </xdr:cNvPr>
        <xdr:cNvSpPr>
          <a:spLocks/>
        </xdr:cNvSpPr>
      </xdr:nvSpPr>
      <xdr:spPr>
        <a:xfrm>
          <a:off x="85725" y="944880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fPrint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5">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95250</xdr:colOff>
      <xdr:row>24</xdr:row>
      <xdr:rowOff>114300</xdr:rowOff>
    </xdr:from>
    <xdr:to>
      <xdr:col>0</xdr:col>
      <xdr:colOff>428625</xdr:colOff>
      <xdr:row>25</xdr:row>
      <xdr:rowOff>200025</xdr:rowOff>
    </xdr:to>
    <xdr:sp>
      <xdr:nvSpPr>
        <xdr:cNvPr id="2" name="AutoShape 6">
          <a:hlinkClick r:id="rId2"/>
        </xdr:cNvPr>
        <xdr:cNvSpPr>
          <a:spLocks/>
        </xdr:cNvSpPr>
      </xdr:nvSpPr>
      <xdr:spPr>
        <a:xfrm>
          <a:off x="95250" y="449580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fPrintsWithSheet="0"/>
  </xdr:twoCellAnchor>
  <xdr:twoCellAnchor>
    <xdr:from>
      <xdr:col>0</xdr:col>
      <xdr:colOff>19050</xdr:colOff>
      <xdr:row>41</xdr:row>
      <xdr:rowOff>38100</xdr:rowOff>
    </xdr:from>
    <xdr:to>
      <xdr:col>0</xdr:col>
      <xdr:colOff>352425</xdr:colOff>
      <xdr:row>42</xdr:row>
      <xdr:rowOff>114300</xdr:rowOff>
    </xdr:to>
    <xdr:sp>
      <xdr:nvSpPr>
        <xdr:cNvPr id="2" name="AutoShape 8">
          <a:hlinkClick r:id="rId2"/>
        </xdr:cNvPr>
        <xdr:cNvSpPr>
          <a:spLocks/>
        </xdr:cNvSpPr>
      </xdr:nvSpPr>
      <xdr:spPr>
        <a:xfrm>
          <a:off x="19050" y="7410450"/>
          <a:ext cx="333375" cy="247650"/>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fPrintsWithSheet="0"/>
  </xdr:twoCellAnchor>
  <xdr:twoCellAnchor>
    <xdr:from>
      <xdr:col>0</xdr:col>
      <xdr:colOff>19050</xdr:colOff>
      <xdr:row>82</xdr:row>
      <xdr:rowOff>38100</xdr:rowOff>
    </xdr:from>
    <xdr:to>
      <xdr:col>0</xdr:col>
      <xdr:colOff>352425</xdr:colOff>
      <xdr:row>83</xdr:row>
      <xdr:rowOff>85725</xdr:rowOff>
    </xdr:to>
    <xdr:sp>
      <xdr:nvSpPr>
        <xdr:cNvPr id="3" name="AutoShape 9">
          <a:hlinkClick r:id="rId3"/>
        </xdr:cNvPr>
        <xdr:cNvSpPr>
          <a:spLocks/>
        </xdr:cNvSpPr>
      </xdr:nvSpPr>
      <xdr:spPr>
        <a:xfrm>
          <a:off x="19050" y="14468475"/>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fPrintsWithSheet="0"/>
  </xdr:twoCellAnchor>
  <xdr:twoCellAnchor>
    <xdr:from>
      <xdr:col>0</xdr:col>
      <xdr:colOff>19050</xdr:colOff>
      <xdr:row>126</xdr:row>
      <xdr:rowOff>38100</xdr:rowOff>
    </xdr:from>
    <xdr:to>
      <xdr:col>0</xdr:col>
      <xdr:colOff>352425</xdr:colOff>
      <xdr:row>127</xdr:row>
      <xdr:rowOff>123825</xdr:rowOff>
    </xdr:to>
    <xdr:sp>
      <xdr:nvSpPr>
        <xdr:cNvPr id="4" name="AutoShape 11">
          <a:hlinkClick r:id="rId4"/>
        </xdr:cNvPr>
        <xdr:cNvSpPr>
          <a:spLocks/>
        </xdr:cNvSpPr>
      </xdr:nvSpPr>
      <xdr:spPr>
        <a:xfrm>
          <a:off x="19050" y="22145625"/>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7</xdr:row>
      <xdr:rowOff>28575</xdr:rowOff>
    </xdr:from>
    <xdr:to>
      <xdr:col>11</xdr:col>
      <xdr:colOff>152400</xdr:colOff>
      <xdr:row>7</xdr:row>
      <xdr:rowOff>304800</xdr:rowOff>
    </xdr:to>
    <xdr:sp>
      <xdr:nvSpPr>
        <xdr:cNvPr id="1" name="AutoShape 3"/>
        <xdr:cNvSpPr>
          <a:spLocks/>
        </xdr:cNvSpPr>
      </xdr:nvSpPr>
      <xdr:spPr>
        <a:xfrm>
          <a:off x="2076450" y="1876425"/>
          <a:ext cx="3895725" cy="276225"/>
        </a:xfrm>
        <a:prstGeom prst="rightArrow">
          <a:avLst/>
        </a:prstGeom>
        <a:gradFill rotWithShape="1">
          <a:gsLst>
            <a:gs pos="0">
              <a:srgbClr val="000080"/>
            </a:gs>
            <a:gs pos="100000">
              <a:srgbClr val="99CCFF"/>
            </a:gs>
          </a:gsLst>
          <a:lin ang="0" scaled="1"/>
        </a:gra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12</xdr:row>
      <xdr:rowOff>28575</xdr:rowOff>
    </xdr:from>
    <xdr:to>
      <xdr:col>11</xdr:col>
      <xdr:colOff>152400</xdr:colOff>
      <xdr:row>12</xdr:row>
      <xdr:rowOff>304800</xdr:rowOff>
    </xdr:to>
    <xdr:sp>
      <xdr:nvSpPr>
        <xdr:cNvPr id="2" name="AutoShape 4"/>
        <xdr:cNvSpPr>
          <a:spLocks/>
        </xdr:cNvSpPr>
      </xdr:nvSpPr>
      <xdr:spPr>
        <a:xfrm>
          <a:off x="2076450" y="3238500"/>
          <a:ext cx="3895725" cy="276225"/>
        </a:xfrm>
        <a:prstGeom prst="rightArrow">
          <a:avLst/>
        </a:prstGeom>
        <a:gradFill rotWithShape="1">
          <a:gsLst>
            <a:gs pos="0">
              <a:srgbClr val="000080"/>
            </a:gs>
            <a:gs pos="100000">
              <a:srgbClr val="99CCFF"/>
            </a:gs>
          </a:gsLst>
          <a:lin ang="0" scaled="1"/>
        </a:gra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0</xdr:row>
      <xdr:rowOff>47625</xdr:rowOff>
    </xdr:from>
    <xdr:to>
      <xdr:col>0</xdr:col>
      <xdr:colOff>609600</xdr:colOff>
      <xdr:row>0</xdr:row>
      <xdr:rowOff>381000</xdr:rowOff>
    </xdr:to>
    <xdr:sp>
      <xdr:nvSpPr>
        <xdr:cNvPr id="3" name="AutoShape 5">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fPrintsWithSheet="0"/>
  </xdr:twoCellAnchor>
  <xdr:twoCellAnchor>
    <xdr:from>
      <xdr:col>0</xdr:col>
      <xdr:colOff>666750</xdr:colOff>
      <xdr:row>15</xdr:row>
      <xdr:rowOff>9525</xdr:rowOff>
    </xdr:from>
    <xdr:to>
      <xdr:col>12</xdr:col>
      <xdr:colOff>66675</xdr:colOff>
      <xdr:row>23</xdr:row>
      <xdr:rowOff>28575</xdr:rowOff>
    </xdr:to>
    <xdr:sp>
      <xdr:nvSpPr>
        <xdr:cNvPr id="4" name="Rectangle 6"/>
        <xdr:cNvSpPr>
          <a:spLocks/>
        </xdr:cNvSpPr>
      </xdr:nvSpPr>
      <xdr:spPr>
        <a:xfrm>
          <a:off x="666750" y="3943350"/>
          <a:ext cx="5905500" cy="1390650"/>
        </a:xfrm>
        <a:prstGeom prst="rect">
          <a:avLst/>
        </a:prstGeom>
        <a:solidFill>
          <a:srgbClr val="FFFFFF"/>
        </a:solidFill>
        <a:ln w="19050" cmpd="sng">
          <a:solidFill>
            <a:srgbClr val="008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日付や時刻は、通常の計算と違いそのままの数値を利用して計算がしにくい。
表計算ソフトでは、便宜上の続き番号を割り当て管理しています。
日付については、1900年1月1日を「1」として、順に「2」、「3」と日付が増えるごとに番号を割り当てています。2005年2月1日は「38384」番目の番号が割り当てられています。
一方、時刻については、午前0時を「0」として小数点以下の数字を割り当ててあります。12時間後の正午はちょうど1日の半分になりますので、「0.5」となります。
2005年2月1日正午は「38384.5」というシリアル値になります。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3">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fPrintsWithSheet="0"/>
  </xdr:twoCellAnchor>
  <xdr:twoCellAnchor>
    <xdr:from>
      <xdr:col>0</xdr:col>
      <xdr:colOff>314325</xdr:colOff>
      <xdr:row>38</xdr:row>
      <xdr:rowOff>0</xdr:rowOff>
    </xdr:from>
    <xdr:to>
      <xdr:col>5</xdr:col>
      <xdr:colOff>0</xdr:colOff>
      <xdr:row>47</xdr:row>
      <xdr:rowOff>57150</xdr:rowOff>
    </xdr:to>
    <xdr:sp>
      <xdr:nvSpPr>
        <xdr:cNvPr id="2" name="Rectangle 4"/>
        <xdr:cNvSpPr>
          <a:spLocks/>
        </xdr:cNvSpPr>
      </xdr:nvSpPr>
      <xdr:spPr>
        <a:xfrm>
          <a:off x="314325" y="6743700"/>
          <a:ext cx="6276975" cy="1600200"/>
        </a:xfrm>
        <a:prstGeom prst="rect">
          <a:avLst/>
        </a:prstGeom>
        <a:solidFill>
          <a:srgbClr val="FFFFFF"/>
        </a:solidFill>
        <a:ln w="19050" cmpd="sng">
          <a:solidFill>
            <a:srgbClr val="008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ユリウス日　Julian day(JD)
</a:t>
          </a:r>
          <a:r>
            <a:rPr lang="en-US" cap="none" sz="1100" b="0" i="0" u="none" baseline="0"/>
            <a:t>フランスのJ.J.スカリゲル(1540-1609)がグレゴリオ改暦により予想される年代学上の混乱を防ぐために考案したもので、前4713年1月1日（正午）から数えた日数であらわす。ある2時点間の時間間隔を日を単位として数え、天文古記録の調査や天体の起動計算、変光星の観測などに用いて便利である。また、ユリウス日を用いれば任意の日の曜日や干支なども計算で容易に求めることができる。
最近では、ユリウス日の2400000.5から改めて起算した準ユリウス日(MJD)が一部で採用されている。
</a:t>
          </a:r>
          <a:r>
            <a:rPr lang="en-US" cap="none" sz="1100" b="0" i="0" u="none" baseline="0">
              <a:latin typeface="ＭＳ Ｐゴシック"/>
              <a:ea typeface="ＭＳ Ｐゴシック"/>
              <a:cs typeface="ＭＳ Ｐゴシック"/>
            </a:rPr>
            <a:t>平凡社『大百科事典』</a:t>
          </a:r>
        </a:p>
      </xdr:txBody>
    </xdr:sp>
    <xdr:clientData/>
  </xdr:twoCellAnchor>
  <xdr:twoCellAnchor>
    <xdr:from>
      <xdr:col>0</xdr:col>
      <xdr:colOff>304800</xdr:colOff>
      <xdr:row>48</xdr:row>
      <xdr:rowOff>9525</xdr:rowOff>
    </xdr:from>
    <xdr:to>
      <xdr:col>5</xdr:col>
      <xdr:colOff>9525</xdr:colOff>
      <xdr:row>54</xdr:row>
      <xdr:rowOff>0</xdr:rowOff>
    </xdr:to>
    <xdr:sp>
      <xdr:nvSpPr>
        <xdr:cNvPr id="3" name="Rectangle 5"/>
        <xdr:cNvSpPr>
          <a:spLocks/>
        </xdr:cNvSpPr>
      </xdr:nvSpPr>
      <xdr:spPr>
        <a:xfrm>
          <a:off x="304800" y="8467725"/>
          <a:ext cx="6296025" cy="1019175"/>
        </a:xfrm>
        <a:prstGeom prst="rect">
          <a:avLst/>
        </a:prstGeom>
        <a:solidFill>
          <a:srgbClr val="FFFFFF"/>
        </a:solidFill>
        <a:ln w="19050" cmpd="sng">
          <a:solidFill>
            <a:srgbClr val="008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ユリウス年　Julian year
</a:t>
          </a:r>
          <a:r>
            <a:rPr lang="en-US" cap="none" sz="1100" b="0" i="0" u="none" baseline="0"/>
            <a:t>1年の長さを365.25日とするユリウス暦の平均の1年をユリウス年という。ユリウス暦では平年を365日、4年に1回置く閏年は366日であるから、{(365日×4)+1÷4}=365.25日となる。
100ユリウス年、すなわち3万6225日をユリウス世紀という。</a:t>
          </a:r>
          <a:r>
            <a:rPr lang="en-US" cap="none" sz="1100" b="0" i="0" u="none" baseline="0">
              <a:latin typeface="ＭＳ Ｐゴシック"/>
              <a:ea typeface="ＭＳ Ｐゴシック"/>
              <a:cs typeface="ＭＳ Ｐゴシック"/>
            </a:rPr>
            <a:t>
平凡社『大百科事典』</a:t>
          </a:r>
        </a:p>
      </xdr:txBody>
    </xdr:sp>
    <xdr:clientData/>
  </xdr:twoCellAnchor>
  <xdr:twoCellAnchor>
    <xdr:from>
      <xdr:col>0</xdr:col>
      <xdr:colOff>304800</xdr:colOff>
      <xdr:row>56</xdr:row>
      <xdr:rowOff>0</xdr:rowOff>
    </xdr:from>
    <xdr:to>
      <xdr:col>4</xdr:col>
      <xdr:colOff>1466850</xdr:colOff>
      <xdr:row>67</xdr:row>
      <xdr:rowOff>161925</xdr:rowOff>
    </xdr:to>
    <xdr:sp>
      <xdr:nvSpPr>
        <xdr:cNvPr id="4" name="Rectangle 6"/>
        <xdr:cNvSpPr>
          <a:spLocks/>
        </xdr:cNvSpPr>
      </xdr:nvSpPr>
      <xdr:spPr>
        <a:xfrm>
          <a:off x="304800" y="9829800"/>
          <a:ext cx="6276975" cy="2047875"/>
        </a:xfrm>
        <a:prstGeom prst="rect">
          <a:avLst/>
        </a:prstGeom>
        <a:solidFill>
          <a:srgbClr val="FFFFFF"/>
        </a:solidFill>
        <a:ln w="19050" cmpd="sng">
          <a:solidFill>
            <a:srgbClr val="008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ユリウス暦　Julian calendar
</a:t>
          </a:r>
          <a:r>
            <a:rPr lang="en-US" cap="none" sz="1100" b="0" i="0" u="none" baseline="0"/>
            <a:t>ユリウス・カエサルJulius Caesarによって制定され、前45年より実施された太陽暦。法令により閏年を規定した最初の暦法で平年を365日、4年に1回閏年には2月に1日加えて366日とした。しかしこの置閏法も最初のうち司暦の僧官に誤解されたため、前9年までは3年ごとに閏が置かれたので、アウグストゥスは前8年より4年まで置閏を禁じた。8年以後はずっと正しく置かれている。ローマではそれまでローマ暦という不完全な太陰太陽暦が用いられており、いまの3月に当たるマルティウス月（英語名March)が年初であった。ユリウス暦によって現在のような年初となったが、2月の閏日が置かれているのは、年末の2月に閏日が挿入されていたローマ暦の時代のなごりで、毎月の名称も日数もユリウス暦はローマ暦のものを継承している。ただ、前44年と後8年にカエサルとアウグストゥスがそれぞれ自分の名にちなむJuliusとAugustusを旧名称に変えたのみである。
平凡社『大百科事典』</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32</xdr:row>
      <xdr:rowOff>85725</xdr:rowOff>
    </xdr:from>
    <xdr:to>
      <xdr:col>0</xdr:col>
      <xdr:colOff>409575</xdr:colOff>
      <xdr:row>34</xdr:row>
      <xdr:rowOff>0</xdr:rowOff>
    </xdr:to>
    <xdr:sp>
      <xdr:nvSpPr>
        <xdr:cNvPr id="2" name="AutoShape 2">
          <a:hlinkClick r:id="rId2"/>
        </xdr:cNvPr>
        <xdr:cNvSpPr>
          <a:spLocks/>
        </xdr:cNvSpPr>
      </xdr:nvSpPr>
      <xdr:spPr>
        <a:xfrm>
          <a:off x="76200" y="6486525"/>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oneCellAnchor>
    <xdr:from>
      <xdr:col>1</xdr:col>
      <xdr:colOff>371475</xdr:colOff>
      <xdr:row>50</xdr:row>
      <xdr:rowOff>114300</xdr:rowOff>
    </xdr:from>
    <xdr:ext cx="76200" cy="209550"/>
    <xdr:sp>
      <xdr:nvSpPr>
        <xdr:cNvPr id="2" name="TextBox 2"/>
        <xdr:cNvSpPr txBox="1">
          <a:spLocks noChangeArrowheads="1"/>
        </xdr:cNvSpPr>
      </xdr:nvSpPr>
      <xdr:spPr>
        <a:xfrm>
          <a:off x="1057275" y="9772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57150</xdr:colOff>
      <xdr:row>57</xdr:row>
      <xdr:rowOff>66675</xdr:rowOff>
    </xdr:from>
    <xdr:to>
      <xdr:col>0</xdr:col>
      <xdr:colOff>390525</xdr:colOff>
      <xdr:row>57</xdr:row>
      <xdr:rowOff>323850</xdr:rowOff>
    </xdr:to>
    <xdr:sp>
      <xdr:nvSpPr>
        <xdr:cNvPr id="3" name="AutoShape 3">
          <a:hlinkClick r:id="rId2"/>
        </xdr:cNvPr>
        <xdr:cNvSpPr>
          <a:spLocks/>
        </xdr:cNvSpPr>
      </xdr:nvSpPr>
      <xdr:spPr>
        <a:xfrm>
          <a:off x="57150" y="10925175"/>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30</xdr:row>
      <xdr:rowOff>76200</xdr:rowOff>
    </xdr:from>
    <xdr:to>
      <xdr:col>0</xdr:col>
      <xdr:colOff>409575</xdr:colOff>
      <xdr:row>31</xdr:row>
      <xdr:rowOff>123825</xdr:rowOff>
    </xdr:to>
    <xdr:sp>
      <xdr:nvSpPr>
        <xdr:cNvPr id="2" name="AutoShape 2">
          <a:hlinkClick r:id="rId2"/>
        </xdr:cNvPr>
        <xdr:cNvSpPr>
          <a:spLocks/>
        </xdr:cNvSpPr>
      </xdr:nvSpPr>
      <xdr:spPr>
        <a:xfrm>
          <a:off x="76200" y="609600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twoCellAnchor editAs="oneCell">
    <xdr:from>
      <xdr:col>1</xdr:col>
      <xdr:colOff>38100</xdr:colOff>
      <xdr:row>53</xdr:row>
      <xdr:rowOff>47625</xdr:rowOff>
    </xdr:from>
    <xdr:to>
      <xdr:col>3</xdr:col>
      <xdr:colOff>123825</xdr:colOff>
      <xdr:row>70</xdr:row>
      <xdr:rowOff>76200</xdr:rowOff>
    </xdr:to>
    <xdr:pic>
      <xdr:nvPicPr>
        <xdr:cNvPr id="3" name="Picture 3"/>
        <xdr:cNvPicPr preferRelativeResize="1">
          <a:picLocks noChangeAspect="1"/>
        </xdr:cNvPicPr>
      </xdr:nvPicPr>
      <xdr:blipFill>
        <a:blip r:embed="rId3"/>
        <a:stretch>
          <a:fillRect/>
        </a:stretch>
      </xdr:blipFill>
      <xdr:spPr>
        <a:xfrm>
          <a:off x="723900" y="10048875"/>
          <a:ext cx="3038475" cy="2943225"/>
        </a:xfrm>
        <a:prstGeom prst="rect">
          <a:avLst/>
        </a:prstGeom>
        <a:noFill/>
        <a:ln w="9525" cmpd="sng">
          <a:noFill/>
        </a:ln>
      </xdr:spPr>
    </xdr:pic>
    <xdr:clientData/>
  </xdr:twoCellAnchor>
  <xdr:twoCellAnchor>
    <xdr:from>
      <xdr:col>0</xdr:col>
      <xdr:colOff>76200</xdr:colOff>
      <xdr:row>87</xdr:row>
      <xdr:rowOff>76200</xdr:rowOff>
    </xdr:from>
    <xdr:to>
      <xdr:col>0</xdr:col>
      <xdr:colOff>409575</xdr:colOff>
      <xdr:row>88</xdr:row>
      <xdr:rowOff>161925</xdr:rowOff>
    </xdr:to>
    <xdr:sp>
      <xdr:nvSpPr>
        <xdr:cNvPr id="4" name="AutoShape 4">
          <a:hlinkClick r:id="rId4"/>
        </xdr:cNvPr>
        <xdr:cNvSpPr>
          <a:spLocks/>
        </xdr:cNvSpPr>
      </xdr:nvSpPr>
      <xdr:spPr>
        <a:xfrm>
          <a:off x="76200" y="1590675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twoCellAnchor>
    <xdr:from>
      <xdr:col>0</xdr:col>
      <xdr:colOff>76200</xdr:colOff>
      <xdr:row>42</xdr:row>
      <xdr:rowOff>47625</xdr:rowOff>
    </xdr:from>
    <xdr:to>
      <xdr:col>0</xdr:col>
      <xdr:colOff>609600</xdr:colOff>
      <xdr:row>44</xdr:row>
      <xdr:rowOff>38100</xdr:rowOff>
    </xdr:to>
    <xdr:sp>
      <xdr:nvSpPr>
        <xdr:cNvPr id="5" name="AutoShape 5">
          <a:hlinkClick r:id="rId5"/>
        </xdr:cNvPr>
        <xdr:cNvSpPr>
          <a:spLocks/>
        </xdr:cNvSpPr>
      </xdr:nvSpPr>
      <xdr:spPr>
        <a:xfrm>
          <a:off x="76200" y="81629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29</xdr:row>
      <xdr:rowOff>76200</xdr:rowOff>
    </xdr:from>
    <xdr:to>
      <xdr:col>0</xdr:col>
      <xdr:colOff>409575</xdr:colOff>
      <xdr:row>30</xdr:row>
      <xdr:rowOff>161925</xdr:rowOff>
    </xdr:to>
    <xdr:sp>
      <xdr:nvSpPr>
        <xdr:cNvPr id="2" name="AutoShape 2">
          <a:hlinkClick r:id="rId2"/>
        </xdr:cNvPr>
        <xdr:cNvSpPr>
          <a:spLocks/>
        </xdr:cNvSpPr>
      </xdr:nvSpPr>
      <xdr:spPr>
        <a:xfrm>
          <a:off x="76200" y="588645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microsoft.com/japan/users/office_expert/200304/03.asp" TargetMode="External" /><Relationship Id="rId2" Type="http://schemas.openxmlformats.org/officeDocument/2006/relationships/vmlDrawing" Target="../drawings/vmlDrawing4.vml" /><Relationship Id="rId3" Type="http://schemas.openxmlformats.org/officeDocument/2006/relationships/drawing" Target="../drawings/drawing22.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23.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support.microsoft.com/default.aspx?scid=kb;ja;JP418360" TargetMode="External" /><Relationship Id="rId2" Type="http://schemas.openxmlformats.org/officeDocument/2006/relationships/drawing" Target="../drawings/drawing27.xml" /><Relationship Id="rId3"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D56"/>
  <sheetViews>
    <sheetView workbookViewId="0" topLeftCell="A4">
      <selection activeCell="B35" sqref="B35"/>
    </sheetView>
  </sheetViews>
  <sheetFormatPr defaultColWidth="9.00390625" defaultRowHeight="13.5"/>
  <cols>
    <col min="1" max="1" width="5.625" style="0" customWidth="1"/>
    <col min="2" max="2" width="15.625" style="0" customWidth="1"/>
    <col min="3" max="3" width="58.625" style="4" customWidth="1"/>
    <col min="4" max="4" width="17.375" style="0" bestFit="1" customWidth="1"/>
  </cols>
  <sheetData>
    <row r="1" ht="17.25">
      <c r="A1" s="1" t="s">
        <v>869</v>
      </c>
    </row>
    <row r="2" ht="17.25">
      <c r="A2" s="1"/>
    </row>
    <row r="3" spans="2:4" ht="14.25">
      <c r="B3" s="238" t="s">
        <v>868</v>
      </c>
      <c r="C3" s="320" t="s">
        <v>652</v>
      </c>
      <c r="D3" s="307" t="s">
        <v>348</v>
      </c>
    </row>
    <row r="4" spans="2:4" ht="14.25">
      <c r="B4" s="304" t="s">
        <v>622</v>
      </c>
      <c r="C4" s="300"/>
      <c r="D4" s="301"/>
    </row>
    <row r="5" spans="2:4" ht="13.5">
      <c r="B5" s="2" t="s">
        <v>931</v>
      </c>
      <c r="C5" s="303" t="s">
        <v>870</v>
      </c>
      <c r="D5" s="301"/>
    </row>
    <row r="6" spans="2:4" ht="13.5">
      <c r="B6" s="2" t="s">
        <v>932</v>
      </c>
      <c r="C6" s="303" t="s">
        <v>895</v>
      </c>
      <c r="D6" s="301"/>
    </row>
    <row r="7" spans="2:4" ht="13.5">
      <c r="B7" s="2"/>
      <c r="C7" s="303"/>
      <c r="D7" s="301"/>
    </row>
    <row r="8" spans="2:4" ht="14.25">
      <c r="B8" s="126" t="s">
        <v>623</v>
      </c>
      <c r="C8" s="321"/>
      <c r="D8" s="301"/>
    </row>
    <row r="9" spans="2:4" ht="13.5">
      <c r="B9" s="2" t="s">
        <v>606</v>
      </c>
      <c r="C9" s="303" t="s">
        <v>936</v>
      </c>
      <c r="D9" s="301"/>
    </row>
    <row r="10" spans="2:4" ht="13.5">
      <c r="B10" s="2" t="s">
        <v>607</v>
      </c>
      <c r="C10" s="303" t="s">
        <v>964</v>
      </c>
      <c r="D10" s="301"/>
    </row>
    <row r="11" spans="2:4" ht="13.5">
      <c r="B11" s="2" t="s">
        <v>608</v>
      </c>
      <c r="C11" s="303" t="s">
        <v>1017</v>
      </c>
      <c r="D11" s="301"/>
    </row>
    <row r="12" spans="2:4" ht="13.5">
      <c r="B12" s="2" t="s">
        <v>609</v>
      </c>
      <c r="C12" s="303" t="s">
        <v>1039</v>
      </c>
      <c r="D12" s="301"/>
    </row>
    <row r="13" spans="2:4" ht="13.5">
      <c r="B13" s="2" t="s">
        <v>610</v>
      </c>
      <c r="C13" s="303" t="s">
        <v>49</v>
      </c>
      <c r="D13" s="301"/>
    </row>
    <row r="14" spans="2:4" ht="13.5">
      <c r="B14" s="2" t="s">
        <v>611</v>
      </c>
      <c r="C14" s="303" t="s">
        <v>72</v>
      </c>
      <c r="D14" s="301"/>
    </row>
    <row r="15" spans="2:4" ht="13.5">
      <c r="B15" s="2" t="s">
        <v>612</v>
      </c>
      <c r="C15" s="303" t="s">
        <v>94</v>
      </c>
      <c r="D15" s="301"/>
    </row>
    <row r="16" spans="2:4" ht="13.5">
      <c r="B16" s="2"/>
      <c r="C16" s="303"/>
      <c r="D16" s="301"/>
    </row>
    <row r="17" spans="2:4" ht="14.25">
      <c r="B17" s="304" t="s">
        <v>624</v>
      </c>
      <c r="C17" s="300"/>
      <c r="D17" s="301"/>
    </row>
    <row r="18" spans="2:4" ht="13.5">
      <c r="B18" s="2" t="s">
        <v>613</v>
      </c>
      <c r="C18" s="303" t="s">
        <v>303</v>
      </c>
      <c r="D18" s="301" t="s">
        <v>304</v>
      </c>
    </row>
    <row r="19" spans="2:4" ht="13.5">
      <c r="B19" s="2"/>
      <c r="C19" s="303"/>
      <c r="D19" s="301"/>
    </row>
    <row r="20" spans="2:4" ht="14.25">
      <c r="B20" s="126" t="s">
        <v>625</v>
      </c>
      <c r="C20" s="321"/>
      <c r="D20" s="301"/>
    </row>
    <row r="21" spans="2:4" ht="13.5">
      <c r="B21" s="2" t="s">
        <v>933</v>
      </c>
      <c r="C21" s="303" t="s">
        <v>825</v>
      </c>
      <c r="D21" s="301"/>
    </row>
    <row r="22" spans="2:4" ht="13.5">
      <c r="B22" s="2" t="s">
        <v>310</v>
      </c>
      <c r="C22" s="303" t="s">
        <v>311</v>
      </c>
      <c r="D22" s="301"/>
    </row>
    <row r="23" spans="2:4" ht="13.5">
      <c r="B23" s="2" t="s">
        <v>614</v>
      </c>
      <c r="C23" s="303" t="s">
        <v>347</v>
      </c>
      <c r="D23" s="301"/>
    </row>
    <row r="24" spans="2:4" ht="13.5">
      <c r="B24" s="2" t="s">
        <v>615</v>
      </c>
      <c r="C24" s="303" t="s">
        <v>373</v>
      </c>
      <c r="D24" s="301"/>
    </row>
    <row r="25" spans="2:4" ht="13.5">
      <c r="B25" s="2"/>
      <c r="C25" s="303"/>
      <c r="D25" s="301"/>
    </row>
    <row r="26" spans="2:4" ht="14.25">
      <c r="B26" s="126" t="s">
        <v>626</v>
      </c>
      <c r="C26" s="322"/>
      <c r="D26" s="301"/>
    </row>
    <row r="27" spans="2:4" ht="27">
      <c r="B27" s="270" t="s">
        <v>616</v>
      </c>
      <c r="C27" s="302" t="s">
        <v>412</v>
      </c>
      <c r="D27" s="306" t="s">
        <v>304</v>
      </c>
    </row>
    <row r="28" spans="2:4" ht="27">
      <c r="B28" s="270" t="s">
        <v>617</v>
      </c>
      <c r="C28" s="302" t="s">
        <v>439</v>
      </c>
      <c r="D28" s="306" t="s">
        <v>304</v>
      </c>
    </row>
    <row r="29" spans="2:4" ht="27">
      <c r="B29" s="270" t="s">
        <v>618</v>
      </c>
      <c r="C29" s="302" t="s">
        <v>471</v>
      </c>
      <c r="D29" s="306" t="s">
        <v>304</v>
      </c>
    </row>
    <row r="30" spans="2:4" ht="13.5">
      <c r="B30" s="270"/>
      <c r="C30" s="302"/>
      <c r="D30" s="306"/>
    </row>
    <row r="31" spans="2:4" ht="14.25">
      <c r="B31" s="304" t="s">
        <v>627</v>
      </c>
      <c r="C31" s="300"/>
      <c r="D31" s="301"/>
    </row>
    <row r="32" spans="2:4" ht="13.5">
      <c r="B32" s="2" t="s">
        <v>619</v>
      </c>
      <c r="C32" s="303" t="s">
        <v>365</v>
      </c>
      <c r="D32" s="306" t="s">
        <v>304</v>
      </c>
    </row>
    <row r="33" spans="2:4" ht="27">
      <c r="B33" s="299" t="s">
        <v>533</v>
      </c>
      <c r="C33" s="302" t="s">
        <v>542</v>
      </c>
      <c r="D33" s="306"/>
    </row>
    <row r="34" spans="2:4" ht="27">
      <c r="B34" s="299" t="s">
        <v>621</v>
      </c>
      <c r="C34" s="302" t="s">
        <v>552</v>
      </c>
      <c r="D34" s="306" t="s">
        <v>304</v>
      </c>
    </row>
    <row r="35" spans="2:4" ht="13.5">
      <c r="B35" s="2" t="s">
        <v>934</v>
      </c>
      <c r="C35" s="303" t="s">
        <v>824</v>
      </c>
      <c r="D35" s="301" t="s">
        <v>252</v>
      </c>
    </row>
    <row r="36" spans="2:4" ht="13.5">
      <c r="B36" s="2"/>
      <c r="C36" s="303"/>
      <c r="D36" s="301"/>
    </row>
    <row r="37" spans="2:4" ht="14.25">
      <c r="B37" s="126" t="s">
        <v>628</v>
      </c>
      <c r="C37" s="322"/>
      <c r="D37" s="301"/>
    </row>
    <row r="38" spans="2:4" ht="13.5">
      <c r="B38" s="2" t="s">
        <v>935</v>
      </c>
      <c r="C38" s="303" t="s">
        <v>841</v>
      </c>
      <c r="D38" s="301" t="s">
        <v>252</v>
      </c>
    </row>
    <row r="39" spans="2:4" ht="13.5">
      <c r="B39" s="2"/>
      <c r="C39" s="303"/>
      <c r="D39" s="301"/>
    </row>
    <row r="40" spans="2:4" ht="14.25">
      <c r="B40" s="305" t="s">
        <v>366</v>
      </c>
      <c r="C40" s="322"/>
      <c r="D40" s="301"/>
    </row>
    <row r="41" spans="2:4" ht="13.5">
      <c r="B41" s="2" t="s">
        <v>342</v>
      </c>
      <c r="C41" s="303"/>
      <c r="D41" s="301"/>
    </row>
    <row r="42" spans="2:4" ht="13.5">
      <c r="B42" s="2" t="s">
        <v>343</v>
      </c>
      <c r="C42" s="303"/>
      <c r="D42" s="301"/>
    </row>
    <row r="43" spans="2:4" ht="13.5">
      <c r="B43" s="2"/>
      <c r="C43" s="303"/>
      <c r="D43" s="301"/>
    </row>
    <row r="44" spans="2:4" ht="14.25">
      <c r="B44" s="304" t="s">
        <v>253</v>
      </c>
      <c r="C44" s="323"/>
      <c r="D44" s="301"/>
    </row>
    <row r="45" spans="2:4" ht="13.5">
      <c r="B45" s="2" t="s">
        <v>871</v>
      </c>
      <c r="C45" s="303" t="s">
        <v>872</v>
      </c>
      <c r="D45" s="301"/>
    </row>
    <row r="46" spans="3:4" ht="27">
      <c r="C46" s="303" t="s">
        <v>876</v>
      </c>
      <c r="D46" s="301"/>
    </row>
    <row r="47" spans="2:4" ht="27">
      <c r="B47" s="324" t="s">
        <v>211</v>
      </c>
      <c r="C47" s="303"/>
      <c r="D47" s="301"/>
    </row>
    <row r="48" spans="2:4" ht="13.5">
      <c r="B48" s="2" t="s">
        <v>251</v>
      </c>
      <c r="C48" s="302"/>
      <c r="D48" s="301"/>
    </row>
    <row r="49" spans="2:4" ht="13.5">
      <c r="B49" s="2" t="s">
        <v>249</v>
      </c>
      <c r="C49" s="344"/>
      <c r="D49" s="301"/>
    </row>
    <row r="50" ht="13.5">
      <c r="B50" s="2" t="s">
        <v>24</v>
      </c>
    </row>
    <row r="56" ht="13.5">
      <c r="B56" s="2"/>
    </row>
  </sheetData>
  <hyperlinks>
    <hyperlink ref="B38" location="DATESTRING関数!B1" display="DATESTRING"/>
    <hyperlink ref="B35" location="DATEDIF関数!B1" display="DATEDIF"/>
    <hyperlink ref="B21" location="DATE関数!B1" display="DATE"/>
    <hyperlink ref="B5" location="TODAY関数!B1" display="TODAY"/>
    <hyperlink ref="B6" location="NOW関数!B1" display="NOW"/>
    <hyperlink ref="B9" location="YEAR関数!B1" display="YEAR"/>
    <hyperlink ref="B10" location="MONTH関数!A1" display="MONTH"/>
    <hyperlink ref="B11" location="DAY関数!B1" display="DAY"/>
    <hyperlink ref="B12" location="HOUR関数!B1" display="HOUR"/>
    <hyperlink ref="B13" location="MINUTE関数!B1" display="MINUTE"/>
    <hyperlink ref="B14" location="SECOND関数!B1" display="SECOND"/>
    <hyperlink ref="B15" location="WEEKDAY関数!B1" display="WEEKDAY"/>
    <hyperlink ref="B18" location="WEEKNUM関数!B1" display="WEEKNUM"/>
    <hyperlink ref="B22" location="TIME関数!B1" display="TIME"/>
    <hyperlink ref="B45" location="シリアル値!B1" display="シリアル値"/>
    <hyperlink ref="B41" location="時間の計算!B1" display="時間の計算"/>
    <hyperlink ref="B42" location="日付の計算!B1" display="日付の計算"/>
    <hyperlink ref="B23" location="DATEVALUE関数!B1" display="DATEVALUE"/>
    <hyperlink ref="B24" location="TIMEVALUE関数!B1" display="TIMEVALUE"/>
    <hyperlink ref="B27" location="EDATE関数!B1" display="EDATE"/>
    <hyperlink ref="B28" location="EOMONTH関数!B1" display="EOMONTH"/>
    <hyperlink ref="B29" location="WORKDAY関数!B1" display="WORKDAY"/>
    <hyperlink ref="B32" location="NETWORKDAYS関数!B1" display="NETWORKDAYS"/>
    <hyperlink ref="B33" location="DAYS360関数!B1" display="DAYS360"/>
    <hyperlink ref="B34" location="YEARFRAC関数!B1" display="YEARFRAC"/>
    <hyperlink ref="B47" location="ユリウス日とユリウス暦!B1" display="ユリウス日とユリウス暦!B1"/>
    <hyperlink ref="B48" location="配列定数とは" display="配列定数とは"/>
    <hyperlink ref="B49" location="セルの書式設定には注意が必要" display="セルの書式設定には注意が必要"/>
    <hyperlink ref="B50" location="Excelでの2桁年の解釈" display="Excelでの2桁年の解釈"/>
  </hyperlinks>
  <printOptions/>
  <pageMargins left="0.43" right="0.33" top="1" bottom="0.78" header="0.512" footer="0.512"/>
  <pageSetup orientation="portrait" paperSize="9" r:id="rId2"/>
  <headerFooter alignWithMargins="0">
    <oddHeader>&amp;L&amp;"Century,斜体"&amp;10SystemKOMACO&amp;RExcel：&amp;A</oddHeader>
    <oddFooter>&amp;L2005/2&amp;C&amp;P/&amp;N</oddFooter>
  </headerFooter>
  <drawing r:id="rId1"/>
</worksheet>
</file>

<file path=xl/worksheets/sheet10.xml><?xml version="1.0" encoding="utf-8"?>
<worksheet xmlns="http://schemas.openxmlformats.org/spreadsheetml/2006/main" xmlns:r="http://schemas.openxmlformats.org/officeDocument/2006/relationships">
  <sheetPr codeName="Sheet13"/>
  <dimension ref="A1:E39"/>
  <sheetViews>
    <sheetView workbookViewId="0" topLeftCell="A1">
      <selection activeCell="B1" sqref="B1"/>
    </sheetView>
  </sheetViews>
  <sheetFormatPr defaultColWidth="9.00390625" defaultRowHeight="13.5"/>
  <cols>
    <col min="2" max="5" width="19.375" style="0" customWidth="1"/>
  </cols>
  <sheetData>
    <row r="1" ht="31.5" customHeight="1">
      <c r="B1" s="1" t="s">
        <v>48</v>
      </c>
    </row>
    <row r="3" spans="1:5" ht="13.5">
      <c r="A3" s="40" t="s">
        <v>652</v>
      </c>
      <c r="B3" s="468" t="s">
        <v>49</v>
      </c>
      <c r="C3" s="468"/>
      <c r="D3" s="468"/>
      <c r="E3" s="469"/>
    </row>
    <row r="4" spans="1:5" ht="13.5">
      <c r="A4" s="41"/>
      <c r="B4" s="470" t="s">
        <v>50</v>
      </c>
      <c r="C4" s="470"/>
      <c r="D4" s="470"/>
      <c r="E4" s="471"/>
    </row>
    <row r="5" spans="1:5" ht="13.5">
      <c r="A5" s="41"/>
      <c r="B5" s="470"/>
      <c r="C5" s="470"/>
      <c r="D5" s="470"/>
      <c r="E5" s="471"/>
    </row>
    <row r="6" spans="2:5" ht="13.5">
      <c r="B6" s="4"/>
      <c r="C6" s="4"/>
      <c r="D6" s="4"/>
      <c r="E6" s="4"/>
    </row>
    <row r="7" spans="1:5" ht="13.5">
      <c r="A7" s="42" t="s">
        <v>631</v>
      </c>
      <c r="B7" s="472" t="s">
        <v>52</v>
      </c>
      <c r="C7" s="473"/>
      <c r="D7" s="473"/>
      <c r="E7" s="474"/>
    </row>
    <row r="9" spans="1:5" ht="13.5">
      <c r="A9" s="35" t="s">
        <v>655</v>
      </c>
      <c r="B9" s="475" t="s">
        <v>871</v>
      </c>
      <c r="C9" s="458"/>
      <c r="D9" s="458"/>
      <c r="E9" s="458"/>
    </row>
    <row r="10" spans="1:5" ht="13.5">
      <c r="A10" s="36"/>
      <c r="B10" s="466" t="s">
        <v>53</v>
      </c>
      <c r="C10" s="458"/>
      <c r="D10" s="458"/>
      <c r="E10" s="458"/>
    </row>
    <row r="11" spans="1:5" ht="13.5" customHeight="1">
      <c r="A11" s="36"/>
      <c r="B11" s="467"/>
      <c r="C11" s="458"/>
      <c r="D11" s="458"/>
      <c r="E11" s="458"/>
    </row>
    <row r="12" spans="1:5" ht="13.5">
      <c r="A12" s="36"/>
      <c r="B12" s="467"/>
      <c r="C12" s="458"/>
      <c r="D12" s="458"/>
      <c r="E12" s="458"/>
    </row>
    <row r="13" spans="1:5" ht="13.5">
      <c r="A13" s="36"/>
      <c r="B13" s="467"/>
      <c r="C13" s="458"/>
      <c r="D13" s="458"/>
      <c r="E13" s="458"/>
    </row>
    <row r="14" spans="1:5" ht="16.5" customHeight="1">
      <c r="A14" s="10"/>
      <c r="B14" s="11"/>
      <c r="C14" s="11"/>
      <c r="D14" s="11"/>
      <c r="E14" s="11"/>
    </row>
    <row r="15" spans="1:5" ht="16.5" customHeight="1">
      <c r="A15" s="10"/>
      <c r="B15" s="130" t="s">
        <v>882</v>
      </c>
      <c r="C15" s="11"/>
      <c r="D15" s="11"/>
      <c r="E15" s="11"/>
    </row>
    <row r="16" spans="1:5" ht="16.5" customHeight="1">
      <c r="A16" s="10"/>
      <c r="B16" s="151" t="s">
        <v>660</v>
      </c>
      <c r="C16" s="150" t="s">
        <v>661</v>
      </c>
      <c r="D16" s="441" t="s">
        <v>883</v>
      </c>
      <c r="E16" s="441"/>
    </row>
    <row r="17" spans="1:5" ht="16.5" customHeight="1">
      <c r="A17" s="10"/>
      <c r="B17" s="132" t="s">
        <v>54</v>
      </c>
      <c r="C17" s="154">
        <f>MINUTE("10:15")</f>
        <v>15</v>
      </c>
      <c r="D17" s="479" t="s">
        <v>62</v>
      </c>
      <c r="E17" s="479"/>
    </row>
    <row r="18" spans="1:5" ht="16.5" customHeight="1">
      <c r="A18" s="10"/>
      <c r="B18" s="132" t="s">
        <v>55</v>
      </c>
      <c r="C18" s="154">
        <f>MINUTE("17:15")</f>
        <v>15</v>
      </c>
      <c r="D18" s="479" t="s">
        <v>63</v>
      </c>
      <c r="E18" s="479"/>
    </row>
    <row r="19" spans="1:5" ht="16.5" customHeight="1">
      <c r="A19" s="10"/>
      <c r="B19" s="132" t="s">
        <v>56</v>
      </c>
      <c r="C19" s="154">
        <f>MINUTE("2:30 AM")</f>
        <v>30</v>
      </c>
      <c r="D19" s="479" t="s">
        <v>63</v>
      </c>
      <c r="E19" s="479"/>
    </row>
    <row r="20" spans="1:5" ht="16.5" customHeight="1">
      <c r="A20" s="10"/>
      <c r="B20" s="132" t="s">
        <v>57</v>
      </c>
      <c r="C20" s="154">
        <f>MINUTE("2:30 PM")</f>
        <v>30</v>
      </c>
      <c r="D20" s="479" t="s">
        <v>63</v>
      </c>
      <c r="E20" s="479"/>
    </row>
    <row r="21" spans="1:5" ht="16.5" customHeight="1">
      <c r="A21" s="10"/>
      <c r="B21" s="132" t="s">
        <v>58</v>
      </c>
      <c r="C21" s="155">
        <f>MINUTE(0.78125)</f>
        <v>45</v>
      </c>
      <c r="D21" s="173" t="s">
        <v>38</v>
      </c>
      <c r="E21" s="157"/>
    </row>
    <row r="22" spans="2:4" ht="16.5" customHeight="1">
      <c r="B22" s="17"/>
      <c r="C22" s="11"/>
      <c r="D22" s="160"/>
    </row>
    <row r="23" spans="2:5" ht="16.5" customHeight="1">
      <c r="B23" s="442" t="s">
        <v>46</v>
      </c>
      <c r="C23" s="428"/>
      <c r="D23" s="428"/>
      <c r="E23" s="428"/>
    </row>
    <row r="24" spans="2:5" ht="16.5" customHeight="1">
      <c r="B24" s="431" t="s">
        <v>59</v>
      </c>
      <c r="C24" s="430"/>
      <c r="D24" s="176">
        <f>MINUTE(TIMEVALUE("3:30 PM"))</f>
        <v>30</v>
      </c>
      <c r="E24" s="178"/>
    </row>
    <row r="25" spans="2:5" ht="16.5" customHeight="1">
      <c r="B25" s="429" t="s">
        <v>60</v>
      </c>
      <c r="C25" s="430"/>
      <c r="D25" s="176">
        <f>MINUTE(TIMEVALUE("3:30"))</f>
        <v>30</v>
      </c>
      <c r="E25" s="178"/>
    </row>
    <row r="26" spans="2:3" ht="16.5" customHeight="1">
      <c r="B26" s="16"/>
      <c r="C26" s="5"/>
    </row>
    <row r="27" spans="2:3" ht="16.5" customHeight="1">
      <c r="B27" s="83" t="s">
        <v>957</v>
      </c>
      <c r="C27" s="5"/>
    </row>
    <row r="28" spans="2:5" ht="16.5" customHeight="1">
      <c r="B28" s="440" t="s">
        <v>61</v>
      </c>
      <c r="C28" s="440"/>
      <c r="D28" s="177">
        <f>MINUTE("17:30")-1</f>
        <v>29</v>
      </c>
      <c r="E28" s="178" t="s">
        <v>64</v>
      </c>
    </row>
    <row r="29" spans="2:5" ht="16.5" customHeight="1">
      <c r="B29" s="440" t="s">
        <v>65</v>
      </c>
      <c r="C29" s="440"/>
      <c r="D29" s="177" t="str">
        <f>HOUR("17:30")&amp;":"&amp;MINUTE("17:30")-1</f>
        <v>17:29</v>
      </c>
      <c r="E29" s="178"/>
    </row>
    <row r="30" spans="2:5" ht="13.5">
      <c r="B30" s="440" t="s">
        <v>66</v>
      </c>
      <c r="C30" s="440"/>
      <c r="D30" s="177">
        <f>MINUTE("17:30")+MINUTE("18:45")</f>
        <v>75</v>
      </c>
      <c r="E30" s="178" t="s">
        <v>67</v>
      </c>
    </row>
    <row r="31" spans="2:5" ht="13.5">
      <c r="B31" s="464" t="s">
        <v>68</v>
      </c>
      <c r="C31" s="464"/>
      <c r="D31" s="177" t="str">
        <f>HOUR("17:30")+2&amp;":"&amp;MINUTE("17:30")+15</f>
        <v>19:45</v>
      </c>
      <c r="E31" s="178"/>
    </row>
    <row r="32" ht="13.5">
      <c r="D32" s="179"/>
    </row>
    <row r="34" ht="13.5">
      <c r="B34" s="83" t="s">
        <v>961</v>
      </c>
    </row>
    <row r="35" spans="2:4" ht="13.5">
      <c r="B35" s="440" t="s">
        <v>69</v>
      </c>
      <c r="C35" s="458"/>
      <c r="D35" s="458"/>
    </row>
    <row r="36" spans="3:5" ht="13.5">
      <c r="C36" s="181"/>
      <c r="D36" s="478" t="str">
        <f>"開始"&amp;MINUTE("4:30 PM")&amp;"分前です。"</f>
        <v>開始30分前です。</v>
      </c>
      <c r="E36" s="458"/>
    </row>
    <row r="38" spans="2:4" ht="13.5">
      <c r="B38" s="54" t="s">
        <v>70</v>
      </c>
      <c r="C38" s="55"/>
      <c r="D38" s="55"/>
    </row>
    <row r="39" ht="13.5">
      <c r="D39" s="136" t="str">
        <f ca="1">"今は"&amp;MINUTE(NOW())&amp;"分です。"</f>
        <v>今は50分です。</v>
      </c>
    </row>
  </sheetData>
  <mergeCells count="19">
    <mergeCell ref="D36:E36"/>
    <mergeCell ref="B29:C29"/>
    <mergeCell ref="B31:C31"/>
    <mergeCell ref="B30:C30"/>
    <mergeCell ref="B35:D35"/>
    <mergeCell ref="D16:E16"/>
    <mergeCell ref="B23:E23"/>
    <mergeCell ref="B28:C28"/>
    <mergeCell ref="B25:C25"/>
    <mergeCell ref="B24:C24"/>
    <mergeCell ref="D19:E19"/>
    <mergeCell ref="D20:E20"/>
    <mergeCell ref="D17:E17"/>
    <mergeCell ref="D18:E18"/>
    <mergeCell ref="B10:E13"/>
    <mergeCell ref="B3:E3"/>
    <mergeCell ref="B4:E5"/>
    <mergeCell ref="B7:E7"/>
    <mergeCell ref="B9:E9"/>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&amp;L2005/2&amp;C&amp;P/&amp;N</oddFooter>
  </headerFooter>
  <drawing r:id="rId1"/>
</worksheet>
</file>

<file path=xl/worksheets/sheet11.xml><?xml version="1.0" encoding="utf-8"?>
<worksheet xmlns="http://schemas.openxmlformats.org/spreadsheetml/2006/main" xmlns:r="http://schemas.openxmlformats.org/officeDocument/2006/relationships">
  <sheetPr codeName="Sheet14"/>
  <dimension ref="A1:E37"/>
  <sheetViews>
    <sheetView workbookViewId="0" topLeftCell="A1">
      <selection activeCell="B1" sqref="B1"/>
    </sheetView>
  </sheetViews>
  <sheetFormatPr defaultColWidth="9.00390625" defaultRowHeight="13.5"/>
  <cols>
    <col min="2" max="5" width="19.375" style="0" customWidth="1"/>
  </cols>
  <sheetData>
    <row r="1" ht="31.5" customHeight="1">
      <c r="B1" s="1" t="s">
        <v>71</v>
      </c>
    </row>
    <row r="3" spans="1:5" ht="13.5">
      <c r="A3" s="40" t="s">
        <v>652</v>
      </c>
      <c r="B3" s="468" t="s">
        <v>72</v>
      </c>
      <c r="C3" s="468"/>
      <c r="D3" s="468"/>
      <c r="E3" s="469"/>
    </row>
    <row r="4" spans="1:5" ht="13.5">
      <c r="A4" s="41"/>
      <c r="B4" s="470" t="s">
        <v>77</v>
      </c>
      <c r="C4" s="470"/>
      <c r="D4" s="470"/>
      <c r="E4" s="471"/>
    </row>
    <row r="5" spans="1:5" ht="13.5">
      <c r="A5" s="41"/>
      <c r="B5" s="470"/>
      <c r="C5" s="470"/>
      <c r="D5" s="470"/>
      <c r="E5" s="471"/>
    </row>
    <row r="6" spans="2:5" ht="13.5">
      <c r="B6" s="4"/>
      <c r="C6" s="4"/>
      <c r="D6" s="4"/>
      <c r="E6" s="4"/>
    </row>
    <row r="7" spans="1:5" ht="13.5">
      <c r="A7" s="42" t="s">
        <v>631</v>
      </c>
      <c r="B7" s="472" t="s">
        <v>73</v>
      </c>
      <c r="C7" s="473"/>
      <c r="D7" s="473"/>
      <c r="E7" s="474"/>
    </row>
    <row r="9" spans="1:5" ht="13.5">
      <c r="A9" s="35" t="s">
        <v>655</v>
      </c>
      <c r="B9" s="475" t="s">
        <v>871</v>
      </c>
      <c r="C9" s="458"/>
      <c r="D9" s="458"/>
      <c r="E9" s="458"/>
    </row>
    <row r="10" spans="1:5" ht="13.5">
      <c r="A10" s="36"/>
      <c r="B10" s="466" t="s">
        <v>53</v>
      </c>
      <c r="C10" s="458"/>
      <c r="D10" s="458"/>
      <c r="E10" s="458"/>
    </row>
    <row r="11" spans="1:5" ht="13.5" customHeight="1">
      <c r="A11" s="36"/>
      <c r="B11" s="467"/>
      <c r="C11" s="458"/>
      <c r="D11" s="458"/>
      <c r="E11" s="458"/>
    </row>
    <row r="12" spans="1:5" ht="13.5">
      <c r="A12" s="36"/>
      <c r="B12" s="467"/>
      <c r="C12" s="458"/>
      <c r="D12" s="458"/>
      <c r="E12" s="458"/>
    </row>
    <row r="13" spans="1:5" ht="13.5">
      <c r="A13" s="36"/>
      <c r="B13" s="467"/>
      <c r="C13" s="458"/>
      <c r="D13" s="458"/>
      <c r="E13" s="458"/>
    </row>
    <row r="14" spans="1:5" ht="16.5" customHeight="1">
      <c r="A14" s="10"/>
      <c r="B14" s="11"/>
      <c r="C14" s="11"/>
      <c r="D14" s="11"/>
      <c r="E14" s="11"/>
    </row>
    <row r="15" spans="1:5" ht="16.5" customHeight="1">
      <c r="A15" s="10"/>
      <c r="B15" s="130" t="s">
        <v>882</v>
      </c>
      <c r="C15" s="11"/>
      <c r="D15" s="11"/>
      <c r="E15" s="11"/>
    </row>
    <row r="16" spans="1:5" ht="16.5" customHeight="1">
      <c r="A16" s="10"/>
      <c r="B16" s="151" t="s">
        <v>660</v>
      </c>
      <c r="C16" s="150" t="s">
        <v>661</v>
      </c>
      <c r="D16" s="441" t="s">
        <v>883</v>
      </c>
      <c r="E16" s="441"/>
    </row>
    <row r="17" spans="1:5" ht="16.5" customHeight="1">
      <c r="A17" s="10"/>
      <c r="B17" s="132" t="s">
        <v>75</v>
      </c>
      <c r="C17" s="154">
        <f>SECOND("10:15:35")</f>
        <v>35</v>
      </c>
      <c r="D17" s="479" t="s">
        <v>76</v>
      </c>
      <c r="E17" s="479"/>
    </row>
    <row r="18" spans="1:5" ht="16.5" customHeight="1">
      <c r="A18" s="10"/>
      <c r="B18" s="132" t="s">
        <v>78</v>
      </c>
      <c r="C18" s="154">
        <f>SECOND("17:15:9.6")</f>
        <v>10</v>
      </c>
      <c r="D18" s="479" t="s">
        <v>81</v>
      </c>
      <c r="E18" s="479"/>
    </row>
    <row r="19" spans="1:5" ht="16.5" customHeight="1">
      <c r="A19" s="10"/>
      <c r="B19" s="132" t="s">
        <v>79</v>
      </c>
      <c r="C19" s="154">
        <f>SECOND("17:15:9.5")</f>
        <v>9</v>
      </c>
      <c r="D19" s="479" t="s">
        <v>80</v>
      </c>
      <c r="E19" s="479"/>
    </row>
    <row r="20" spans="1:5" ht="16.5" customHeight="1">
      <c r="A20" s="10"/>
      <c r="B20" s="132" t="s">
        <v>74</v>
      </c>
      <c r="C20" s="154">
        <f>SECOND("2:30 PM")</f>
        <v>0</v>
      </c>
      <c r="D20" s="479" t="s">
        <v>82</v>
      </c>
      <c r="E20" s="479"/>
    </row>
    <row r="21" spans="1:5" ht="16.5" customHeight="1">
      <c r="A21" s="10"/>
      <c r="B21" s="125" t="s">
        <v>83</v>
      </c>
      <c r="C21" s="155">
        <f>SECOND(0.323263889)</f>
        <v>30</v>
      </c>
      <c r="D21" s="173" t="s">
        <v>84</v>
      </c>
      <c r="E21" s="157"/>
    </row>
    <row r="22" spans="2:4" ht="16.5" customHeight="1">
      <c r="B22" s="17"/>
      <c r="C22" s="11"/>
      <c r="D22" s="160"/>
    </row>
    <row r="23" spans="2:5" ht="16.5" customHeight="1">
      <c r="B23" s="442" t="s">
        <v>46</v>
      </c>
      <c r="C23" s="428"/>
      <c r="D23" s="428"/>
      <c r="E23" s="428"/>
    </row>
    <row r="24" spans="2:5" ht="16.5" customHeight="1">
      <c r="B24" s="431" t="s">
        <v>85</v>
      </c>
      <c r="C24" s="430"/>
      <c r="D24" s="176">
        <f>SECOND(TIMEVALUE("3:30:30 PM"))</f>
        <v>30</v>
      </c>
      <c r="E24" s="178"/>
    </row>
    <row r="25" spans="2:5" ht="16.5" customHeight="1">
      <c r="B25" s="429" t="s">
        <v>86</v>
      </c>
      <c r="C25" s="430"/>
      <c r="D25" s="176">
        <f>SECOND(TIMEVALUE("3:30:45"))</f>
        <v>45</v>
      </c>
      <c r="E25" s="178"/>
    </row>
    <row r="26" spans="2:3" ht="16.5" customHeight="1">
      <c r="B26" s="16"/>
      <c r="C26" s="5"/>
    </row>
    <row r="27" spans="2:3" ht="16.5" customHeight="1">
      <c r="B27" s="83" t="s">
        <v>957</v>
      </c>
      <c r="C27" s="5"/>
    </row>
    <row r="28" spans="2:5" ht="16.5" customHeight="1">
      <c r="B28" s="440" t="s">
        <v>87</v>
      </c>
      <c r="C28" s="440"/>
      <c r="D28" s="177">
        <f>SECOND("17:30:50")-1</f>
        <v>49</v>
      </c>
      <c r="E28" s="178" t="s">
        <v>88</v>
      </c>
    </row>
    <row r="29" spans="2:5" ht="16.5" customHeight="1">
      <c r="B29" s="440" t="s">
        <v>89</v>
      </c>
      <c r="C29" s="440"/>
      <c r="D29" s="177">
        <f>SECOND("17:30:50")-55</f>
        <v>-5</v>
      </c>
      <c r="E29" s="178"/>
    </row>
    <row r="30" ht="13.5">
      <c r="D30" s="179"/>
    </row>
    <row r="32" ht="13.5">
      <c r="B32" s="83" t="s">
        <v>961</v>
      </c>
    </row>
    <row r="33" spans="2:4" ht="13.5">
      <c r="B33" s="440" t="s">
        <v>90</v>
      </c>
      <c r="C33" s="458"/>
      <c r="D33" s="458"/>
    </row>
    <row r="34" spans="3:5" ht="13.5">
      <c r="C34" s="181"/>
      <c r="D34" s="478" t="str">
        <f>"打ち上げ"&amp;SECOND("4:30:10 PM")&amp;"秒前です。"</f>
        <v>打ち上げ10秒前です。</v>
      </c>
      <c r="E34" s="458"/>
    </row>
    <row r="36" spans="2:4" ht="13.5">
      <c r="B36" s="54" t="s">
        <v>91</v>
      </c>
      <c r="C36" s="55"/>
      <c r="D36" s="55"/>
    </row>
    <row r="37" ht="13.5">
      <c r="D37" s="136" t="str">
        <f ca="1">"実験から"&amp;SECOND(NOW())&amp;"秒経過です。"</f>
        <v>実験から53秒経過です。</v>
      </c>
    </row>
  </sheetData>
  <mergeCells count="17">
    <mergeCell ref="D17:E17"/>
    <mergeCell ref="D18:E18"/>
    <mergeCell ref="B10:E13"/>
    <mergeCell ref="B3:E3"/>
    <mergeCell ref="B4:E5"/>
    <mergeCell ref="B7:E7"/>
    <mergeCell ref="B9:E9"/>
    <mergeCell ref="D34:E34"/>
    <mergeCell ref="B29:C29"/>
    <mergeCell ref="B33:D33"/>
    <mergeCell ref="D16:E16"/>
    <mergeCell ref="B23:E23"/>
    <mergeCell ref="B28:C28"/>
    <mergeCell ref="B25:C25"/>
    <mergeCell ref="B24:C24"/>
    <mergeCell ref="D19:E19"/>
    <mergeCell ref="D20:E20"/>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&amp;L2005/2&amp;C&amp;P/&amp;N</oddFooter>
  </headerFooter>
  <drawing r:id="rId1"/>
</worksheet>
</file>

<file path=xl/worksheets/sheet12.xml><?xml version="1.0" encoding="utf-8"?>
<worksheet xmlns="http://schemas.openxmlformats.org/spreadsheetml/2006/main" xmlns:r="http://schemas.openxmlformats.org/officeDocument/2006/relationships">
  <sheetPr codeName="Sheet15"/>
  <dimension ref="A1:E56"/>
  <sheetViews>
    <sheetView workbookViewId="0" topLeftCell="A22">
      <selection activeCell="C45" sqref="C45"/>
    </sheetView>
  </sheetViews>
  <sheetFormatPr defaultColWidth="9.00390625" defaultRowHeight="13.5"/>
  <cols>
    <col min="2" max="5" width="19.375" style="0" customWidth="1"/>
  </cols>
  <sheetData>
    <row r="1" ht="31.5" customHeight="1">
      <c r="B1" s="1" t="s">
        <v>92</v>
      </c>
    </row>
    <row r="3" spans="1:5" ht="13.5">
      <c r="A3" s="40" t="s">
        <v>652</v>
      </c>
      <c r="B3" s="468" t="s">
        <v>93</v>
      </c>
      <c r="C3" s="468"/>
      <c r="D3" s="468"/>
      <c r="E3" s="469"/>
    </row>
    <row r="4" spans="1:5" ht="13.5">
      <c r="A4" s="41"/>
      <c r="B4" s="470" t="s">
        <v>95</v>
      </c>
      <c r="C4" s="470"/>
      <c r="D4" s="470"/>
      <c r="E4" s="471"/>
    </row>
    <row r="5" spans="1:5" ht="13.5">
      <c r="A5" s="41"/>
      <c r="B5" s="470"/>
      <c r="C5" s="470"/>
      <c r="D5" s="470"/>
      <c r="E5" s="471"/>
    </row>
    <row r="6" spans="2:5" ht="13.5">
      <c r="B6" s="4"/>
      <c r="C6" s="4"/>
      <c r="D6" s="4"/>
      <c r="E6" s="4"/>
    </row>
    <row r="7" spans="1:5" ht="13.5">
      <c r="A7" s="42" t="s">
        <v>631</v>
      </c>
      <c r="B7" s="472" t="s">
        <v>306</v>
      </c>
      <c r="C7" s="473"/>
      <c r="D7" s="473"/>
      <c r="E7" s="474"/>
    </row>
    <row r="9" spans="1:5" ht="13.5">
      <c r="A9" s="35" t="s">
        <v>655</v>
      </c>
      <c r="B9" s="475" t="s">
        <v>871</v>
      </c>
      <c r="C9" s="458"/>
      <c r="D9" s="458"/>
      <c r="E9" s="458"/>
    </row>
    <row r="10" spans="1:5" ht="13.5">
      <c r="A10" s="36"/>
      <c r="B10" s="466" t="s">
        <v>103</v>
      </c>
      <c r="C10" s="458"/>
      <c r="D10" s="458"/>
      <c r="E10" s="458"/>
    </row>
    <row r="11" spans="1:5" ht="13.5" customHeight="1">
      <c r="A11" s="36"/>
      <c r="B11" s="467"/>
      <c r="C11" s="458"/>
      <c r="D11" s="458"/>
      <c r="E11" s="458"/>
    </row>
    <row r="12" spans="1:5" ht="13.5">
      <c r="A12" s="36"/>
      <c r="B12" s="467"/>
      <c r="C12" s="458"/>
      <c r="D12" s="458"/>
      <c r="E12" s="458"/>
    </row>
    <row r="13" spans="1:5" ht="14.25" thickBot="1">
      <c r="A13" s="36"/>
      <c r="B13" s="467"/>
      <c r="C13" s="458"/>
      <c r="D13" s="458"/>
      <c r="E13" s="458"/>
    </row>
    <row r="14" spans="1:5" ht="13.5">
      <c r="A14" s="66"/>
      <c r="B14" s="487" t="s">
        <v>96</v>
      </c>
      <c r="C14" s="488"/>
      <c r="D14" s="488"/>
      <c r="E14" s="489"/>
    </row>
    <row r="15" spans="1:5" ht="13.5">
      <c r="A15" s="66"/>
      <c r="B15" s="481" t="s">
        <v>99</v>
      </c>
      <c r="C15" s="481" t="s">
        <v>106</v>
      </c>
      <c r="D15" s="481"/>
      <c r="E15" s="484"/>
    </row>
    <row r="16" spans="1:5" ht="13.5">
      <c r="A16" s="66"/>
      <c r="B16" s="481"/>
      <c r="C16" s="481"/>
      <c r="D16" s="481"/>
      <c r="E16" s="484"/>
    </row>
    <row r="17" spans="1:5" ht="13.5">
      <c r="A17" s="66"/>
      <c r="B17" s="188">
        <v>2</v>
      </c>
      <c r="C17" s="481" t="s">
        <v>97</v>
      </c>
      <c r="D17" s="481"/>
      <c r="E17" s="484"/>
    </row>
    <row r="18" spans="1:5" ht="13.5">
      <c r="A18" s="66"/>
      <c r="B18" s="187">
        <v>3</v>
      </c>
      <c r="C18" s="485" t="s">
        <v>98</v>
      </c>
      <c r="D18" s="485"/>
      <c r="E18" s="486"/>
    </row>
    <row r="19" spans="1:5" ht="13.5">
      <c r="A19" s="200"/>
      <c r="B19" s="201"/>
      <c r="C19" s="476" t="s">
        <v>123</v>
      </c>
      <c r="D19" s="476"/>
      <c r="E19" s="476"/>
    </row>
    <row r="20" spans="1:5" ht="16.5" customHeight="1">
      <c r="A20" s="10"/>
      <c r="B20" s="11"/>
      <c r="C20" s="11"/>
      <c r="D20" s="11"/>
      <c r="E20" s="11"/>
    </row>
    <row r="21" spans="1:5" ht="16.5" customHeight="1">
      <c r="A21" s="10"/>
      <c r="B21" s="130" t="s">
        <v>882</v>
      </c>
      <c r="C21" s="11"/>
      <c r="D21" s="11"/>
      <c r="E21" s="11"/>
    </row>
    <row r="22" spans="1:5" ht="16.5" customHeight="1">
      <c r="A22" s="10"/>
      <c r="B22" s="482" t="s">
        <v>660</v>
      </c>
      <c r="C22" s="483"/>
      <c r="D22" s="150" t="s">
        <v>661</v>
      </c>
      <c r="E22" s="131" t="s">
        <v>883</v>
      </c>
    </row>
    <row r="23" spans="1:5" ht="16.5" customHeight="1">
      <c r="A23" s="10"/>
      <c r="B23" s="480" t="s">
        <v>100</v>
      </c>
      <c r="C23" s="458"/>
      <c r="D23" s="189">
        <f>WEEKDAY("2005/2/14")</f>
        <v>2</v>
      </c>
      <c r="E23" s="186"/>
    </row>
    <row r="24" spans="1:5" ht="16.5" customHeight="1">
      <c r="A24" s="10"/>
      <c r="B24" s="480" t="s">
        <v>101</v>
      </c>
      <c r="C24" s="458"/>
      <c r="D24" s="189">
        <f>WEEKDAY("2005/2/14",2)</f>
        <v>1</v>
      </c>
      <c r="E24" s="157"/>
    </row>
    <row r="25" spans="1:5" ht="16.5" customHeight="1">
      <c r="A25" s="10"/>
      <c r="B25" s="480" t="s">
        <v>102</v>
      </c>
      <c r="C25" s="458"/>
      <c r="D25" s="189">
        <f>WEEKDAY("2005/2/14",3)</f>
        <v>0</v>
      </c>
      <c r="E25" s="157"/>
    </row>
    <row r="26" spans="2:5" ht="16.5" customHeight="1">
      <c r="B26" s="17"/>
      <c r="C26" s="11"/>
      <c r="D26" s="4"/>
      <c r="E26" s="4"/>
    </row>
    <row r="27" spans="2:5" ht="16.5" customHeight="1">
      <c r="B27" s="442" t="s">
        <v>104</v>
      </c>
      <c r="C27" s="428"/>
      <c r="D27" s="428"/>
      <c r="E27" s="428"/>
    </row>
    <row r="28" spans="2:5" ht="16.5" customHeight="1">
      <c r="B28" s="431" t="s">
        <v>105</v>
      </c>
      <c r="C28" s="430"/>
      <c r="D28" s="190" t="str">
        <f>TEXT(WEEKDAY("2005/2/14"),"AAAA")</f>
        <v>月曜日</v>
      </c>
      <c r="E28" s="178"/>
    </row>
    <row r="29" spans="2:5" ht="16.5" customHeight="1">
      <c r="B29" s="429" t="s">
        <v>109</v>
      </c>
      <c r="C29" s="430"/>
      <c r="D29" s="190" t="str">
        <f>TEXT(WEEKDAY("2005/2/14",2),"AAAA")</f>
        <v>日曜日</v>
      </c>
      <c r="E29" s="178"/>
    </row>
    <row r="30" spans="2:3" ht="16.5" customHeight="1">
      <c r="B30" s="16"/>
      <c r="C30" s="5"/>
    </row>
    <row r="31" spans="2:3" ht="16.5" customHeight="1">
      <c r="B31" s="83" t="s">
        <v>957</v>
      </c>
      <c r="C31" s="5"/>
    </row>
    <row r="32" spans="2:5" ht="16.5" customHeight="1">
      <c r="B32" s="440" t="s">
        <v>110</v>
      </c>
      <c r="C32" s="440"/>
      <c r="D32" s="177">
        <f>WEEKDAY("2005/2/14")-1</f>
        <v>1</v>
      </c>
      <c r="E32" s="178" t="s">
        <v>111</v>
      </c>
    </row>
    <row r="33" spans="2:5" ht="16.5" customHeight="1">
      <c r="B33" s="440" t="s">
        <v>112</v>
      </c>
      <c r="C33" s="440"/>
      <c r="D33" s="177">
        <f>WEEKDAY("2005/2/14")+2</f>
        <v>4</v>
      </c>
      <c r="E33" s="178" t="s">
        <v>113</v>
      </c>
    </row>
    <row r="34" ht="13.5">
      <c r="D34" s="179"/>
    </row>
    <row r="35" ht="13.5">
      <c r="B35" s="83" t="s">
        <v>961</v>
      </c>
    </row>
    <row r="36" spans="2:5" ht="13.5">
      <c r="B36" s="440" t="s">
        <v>107</v>
      </c>
      <c r="C36" s="458"/>
      <c r="D36" s="458"/>
      <c r="E36" s="458"/>
    </row>
    <row r="37" spans="3:5" ht="13.5">
      <c r="C37" s="181"/>
      <c r="D37" s="478" t="str">
        <f>"2005年2月14日は"&amp;TEXT(WEEKDAY("2005/2/14"),"AAAA")&amp;"です。"</f>
        <v>2005年2月14日は月曜日です。</v>
      </c>
      <c r="E37" s="458"/>
    </row>
    <row r="39" spans="2:4" ht="13.5">
      <c r="B39" s="54" t="s">
        <v>108</v>
      </c>
      <c r="C39" s="55"/>
      <c r="D39" s="55"/>
    </row>
    <row r="40" ht="13.5">
      <c r="D40" s="136" t="str">
        <f ca="1">"今日は"&amp;TEXT(WEEKDAY(NOW()),"AAAA")&amp;"です。"</f>
        <v>今日は火曜日です。</v>
      </c>
    </row>
    <row r="42" ht="13.5">
      <c r="B42" s="83" t="s">
        <v>122</v>
      </c>
    </row>
    <row r="43" ht="14.25" thickBot="1"/>
    <row r="44" spans="2:5" ht="13.5">
      <c r="B44" s="191" t="s">
        <v>838</v>
      </c>
      <c r="C44" s="192" t="s">
        <v>114</v>
      </c>
      <c r="D44" s="194" t="s">
        <v>96</v>
      </c>
      <c r="E44" s="195" t="s">
        <v>114</v>
      </c>
    </row>
    <row r="45" spans="2:5" ht="14.25" thickBot="1">
      <c r="B45" s="193">
        <v>38574</v>
      </c>
      <c r="C45" s="202" t="str">
        <f>VLOOKUP(WEEKDAY(B45),D44:E51,2,FALSE)</f>
        <v>水曜日</v>
      </c>
      <c r="D45" s="196">
        <v>1</v>
      </c>
      <c r="E45" s="197" t="s">
        <v>115</v>
      </c>
    </row>
    <row r="46" spans="4:5" ht="13.5">
      <c r="D46" s="196">
        <v>2</v>
      </c>
      <c r="E46" s="197" t="s">
        <v>116</v>
      </c>
    </row>
    <row r="47" spans="4:5" ht="13.5">
      <c r="D47" s="196">
        <v>3</v>
      </c>
      <c r="E47" s="197" t="s">
        <v>117</v>
      </c>
    </row>
    <row r="48" spans="4:5" ht="13.5">
      <c r="D48" s="196">
        <v>4</v>
      </c>
      <c r="E48" s="197" t="s">
        <v>118</v>
      </c>
    </row>
    <row r="49" spans="4:5" ht="13.5">
      <c r="D49" s="196">
        <v>5</v>
      </c>
      <c r="E49" s="197" t="s">
        <v>119</v>
      </c>
    </row>
    <row r="50" spans="4:5" ht="13.5">
      <c r="D50" s="196">
        <v>6</v>
      </c>
      <c r="E50" s="197" t="s">
        <v>120</v>
      </c>
    </row>
    <row r="51" spans="4:5" ht="13.5">
      <c r="D51" s="198">
        <v>7</v>
      </c>
      <c r="E51" s="199" t="s">
        <v>121</v>
      </c>
    </row>
    <row r="56" ht="13.5">
      <c r="B56" s="5"/>
    </row>
  </sheetData>
  <mergeCells count="22">
    <mergeCell ref="D37:E37"/>
    <mergeCell ref="B33:C33"/>
    <mergeCell ref="B27:E27"/>
    <mergeCell ref="B32:C32"/>
    <mergeCell ref="B29:C29"/>
    <mergeCell ref="B28:C28"/>
    <mergeCell ref="B36:E36"/>
    <mergeCell ref="B3:E3"/>
    <mergeCell ref="B4:E5"/>
    <mergeCell ref="B7:E7"/>
    <mergeCell ref="B9:E9"/>
    <mergeCell ref="B10:E13"/>
    <mergeCell ref="C17:E17"/>
    <mergeCell ref="C18:E18"/>
    <mergeCell ref="B14:E14"/>
    <mergeCell ref="C15:E16"/>
    <mergeCell ref="B24:C24"/>
    <mergeCell ref="B25:C25"/>
    <mergeCell ref="B15:B16"/>
    <mergeCell ref="C19:E19"/>
    <mergeCell ref="B23:C23"/>
    <mergeCell ref="B22:C22"/>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&amp;L2005/2&amp;C&amp;P/&amp;N</oddFooter>
  </headerFooter>
  <drawing r:id="rId1"/>
</worksheet>
</file>

<file path=xl/worksheets/sheet13.xml><?xml version="1.0" encoding="utf-8"?>
<worksheet xmlns="http://schemas.openxmlformats.org/spreadsheetml/2006/main" xmlns:r="http://schemas.openxmlformats.org/officeDocument/2006/relationships">
  <sheetPr codeName="Sheet16"/>
  <dimension ref="A1:E43"/>
  <sheetViews>
    <sheetView workbookViewId="0" topLeftCell="A13">
      <selection activeCell="B1" sqref="B1"/>
    </sheetView>
  </sheetViews>
  <sheetFormatPr defaultColWidth="9.00390625" defaultRowHeight="13.5"/>
  <cols>
    <col min="2" max="5" width="19.375" style="0" customWidth="1"/>
  </cols>
  <sheetData>
    <row r="1" ht="31.5" customHeight="1">
      <c r="B1" s="1" t="s">
        <v>124</v>
      </c>
    </row>
    <row r="3" spans="1:5" ht="13.5">
      <c r="A3" s="40" t="s">
        <v>652</v>
      </c>
      <c r="B3" s="468" t="s">
        <v>302</v>
      </c>
      <c r="C3" s="468"/>
      <c r="D3" s="468"/>
      <c r="E3" s="469"/>
    </row>
    <row r="4" spans="1:5" ht="13.5">
      <c r="A4" s="41"/>
      <c r="B4" s="470" t="s">
        <v>305</v>
      </c>
      <c r="C4" s="470"/>
      <c r="D4" s="470"/>
      <c r="E4" s="471"/>
    </row>
    <row r="5" spans="1:5" ht="13.5">
      <c r="A5" s="41"/>
      <c r="B5" s="470"/>
      <c r="C5" s="470"/>
      <c r="D5" s="470"/>
      <c r="E5" s="471"/>
    </row>
    <row r="6" spans="2:5" ht="13.5">
      <c r="B6" s="4"/>
      <c r="C6" s="4"/>
      <c r="D6" s="4"/>
      <c r="E6" s="4"/>
    </row>
    <row r="7" spans="1:5" ht="13.5">
      <c r="A7" s="42" t="s">
        <v>631</v>
      </c>
      <c r="B7" s="472" t="s">
        <v>307</v>
      </c>
      <c r="C7" s="473"/>
      <c r="D7" s="473"/>
      <c r="E7" s="474"/>
    </row>
    <row r="9" spans="1:5" ht="13.5">
      <c r="A9" s="35" t="s">
        <v>655</v>
      </c>
      <c r="B9" s="475" t="s">
        <v>871</v>
      </c>
      <c r="C9" s="458"/>
      <c r="D9" s="458"/>
      <c r="E9" s="458"/>
    </row>
    <row r="10" spans="1:5" ht="13.5">
      <c r="A10" s="36"/>
      <c r="B10" s="466" t="s">
        <v>586</v>
      </c>
      <c r="C10" s="458"/>
      <c r="D10" s="458"/>
      <c r="E10" s="458"/>
    </row>
    <row r="11" spans="1:5" ht="13.5" customHeight="1">
      <c r="A11" s="36"/>
      <c r="B11" s="467"/>
      <c r="C11" s="458"/>
      <c r="D11" s="458"/>
      <c r="E11" s="458"/>
    </row>
    <row r="12" spans="1:5" ht="13.5">
      <c r="A12" s="36"/>
      <c r="B12" s="467"/>
      <c r="C12" s="458"/>
      <c r="D12" s="458"/>
      <c r="E12" s="458"/>
    </row>
    <row r="13" spans="1:5" ht="14.25" thickBot="1">
      <c r="A13" s="36"/>
      <c r="B13" s="467"/>
      <c r="C13" s="458"/>
      <c r="D13" s="458"/>
      <c r="E13" s="458"/>
    </row>
    <row r="14" spans="1:5" ht="13.5">
      <c r="A14" s="66"/>
      <c r="B14" s="487" t="s">
        <v>589</v>
      </c>
      <c r="C14" s="488"/>
      <c r="D14" s="488"/>
      <c r="E14" s="489"/>
    </row>
    <row r="15" spans="1:5" ht="13.5">
      <c r="A15" s="66"/>
      <c r="B15" s="494">
        <v>1</v>
      </c>
      <c r="C15" s="481" t="s">
        <v>587</v>
      </c>
      <c r="D15" s="481"/>
      <c r="E15" s="484"/>
    </row>
    <row r="16" spans="1:5" ht="13.5">
      <c r="A16" s="66"/>
      <c r="B16" s="496"/>
      <c r="C16" s="481"/>
      <c r="D16" s="481"/>
      <c r="E16" s="484"/>
    </row>
    <row r="17" spans="1:5" ht="13.5">
      <c r="A17" s="66"/>
      <c r="B17" s="494">
        <v>2</v>
      </c>
      <c r="C17" s="491" t="s">
        <v>588</v>
      </c>
      <c r="D17" s="492"/>
      <c r="E17" s="492"/>
    </row>
    <row r="18" spans="1:5" ht="13.5">
      <c r="A18" s="66"/>
      <c r="B18" s="495"/>
      <c r="C18" s="493"/>
      <c r="D18" s="458"/>
      <c r="E18" s="458"/>
    </row>
    <row r="19" spans="1:5" ht="13.5">
      <c r="A19" s="200"/>
      <c r="B19" s="201"/>
      <c r="C19" s="476"/>
      <c r="D19" s="476"/>
      <c r="E19" s="476"/>
    </row>
    <row r="20" spans="1:5" ht="16.5" customHeight="1">
      <c r="A20" s="10"/>
      <c r="B20" s="11"/>
      <c r="C20" s="11"/>
      <c r="D20" s="11"/>
      <c r="E20" s="11"/>
    </row>
    <row r="21" spans="1:5" ht="16.5" customHeight="1">
      <c r="A21" s="10"/>
      <c r="B21" s="130" t="s">
        <v>882</v>
      </c>
      <c r="C21" s="11"/>
      <c r="D21" s="11"/>
      <c r="E21" s="11"/>
    </row>
    <row r="22" spans="1:5" ht="16.5" customHeight="1">
      <c r="A22" s="10"/>
      <c r="B22" s="482" t="s">
        <v>660</v>
      </c>
      <c r="C22" s="483"/>
      <c r="D22" s="150" t="s">
        <v>661</v>
      </c>
      <c r="E22" s="131" t="s">
        <v>883</v>
      </c>
    </row>
    <row r="23" spans="1:5" ht="16.5" customHeight="1">
      <c r="A23" s="10"/>
      <c r="B23" s="480" t="s">
        <v>590</v>
      </c>
      <c r="C23" s="458"/>
      <c r="D23" s="189">
        <f>WEEKNUM("2005/2/14")</f>
        <v>8</v>
      </c>
      <c r="E23" s="186" t="s">
        <v>602</v>
      </c>
    </row>
    <row r="24" spans="1:5" ht="16.5" customHeight="1">
      <c r="A24" s="10"/>
      <c r="B24" s="480" t="s">
        <v>591</v>
      </c>
      <c r="C24" s="458"/>
      <c r="D24" s="189">
        <f>WEEKNUM("2005/2/14",2)</f>
        <v>8</v>
      </c>
      <c r="E24" s="157"/>
    </row>
    <row r="25" spans="1:5" ht="16.5" customHeight="1">
      <c r="A25" s="10"/>
      <c r="B25" s="480" t="s">
        <v>592</v>
      </c>
      <c r="C25" s="458"/>
      <c r="D25" s="189">
        <f>WEEKNUM("2005/2/13")</f>
        <v>8</v>
      </c>
      <c r="E25" s="157" t="s">
        <v>601</v>
      </c>
    </row>
    <row r="26" spans="1:5" ht="16.5" customHeight="1">
      <c r="A26" s="10"/>
      <c r="B26" s="480" t="s">
        <v>600</v>
      </c>
      <c r="C26" s="458"/>
      <c r="D26" s="189">
        <f>WEEKNUM("2005/2/13",2)</f>
        <v>7</v>
      </c>
      <c r="E26" s="157"/>
    </row>
    <row r="27" spans="2:5" ht="16.5" customHeight="1">
      <c r="B27" s="17"/>
      <c r="C27" s="11"/>
      <c r="D27" s="4"/>
      <c r="E27" s="4"/>
    </row>
    <row r="28" spans="2:5" ht="16.5" customHeight="1">
      <c r="B28" s="442" t="s">
        <v>603</v>
      </c>
      <c r="C28" s="428"/>
      <c r="D28" s="428"/>
      <c r="E28" s="428"/>
    </row>
    <row r="29" spans="2:5" ht="16.5" customHeight="1">
      <c r="B29" s="431" t="s">
        <v>604</v>
      </c>
      <c r="C29" s="430"/>
      <c r="D29" s="190">
        <f>WEEKNUM(DATE(2005,2,14))</f>
        <v>8</v>
      </c>
      <c r="E29" s="178"/>
    </row>
    <row r="30" spans="2:5" ht="16.5" customHeight="1">
      <c r="B30" s="431" t="s">
        <v>605</v>
      </c>
      <c r="C30" s="430"/>
      <c r="D30" s="190">
        <f>WEEKNUM(DATE(2005,12,31),2)</f>
        <v>53</v>
      </c>
      <c r="E30" s="178"/>
    </row>
    <row r="31" spans="2:3" ht="16.5" customHeight="1">
      <c r="B31" s="16"/>
      <c r="C31" s="5"/>
    </row>
    <row r="32" spans="2:3" ht="16.5" customHeight="1">
      <c r="B32" s="83" t="s">
        <v>957</v>
      </c>
      <c r="C32" s="5"/>
    </row>
    <row r="33" spans="2:5" ht="16.5" customHeight="1">
      <c r="B33" s="440" t="s">
        <v>593</v>
      </c>
      <c r="C33" s="440"/>
      <c r="D33" s="177">
        <f>WEEKNUM("2005/2/14")-1</f>
        <v>7</v>
      </c>
      <c r="E33" s="178" t="s">
        <v>594</v>
      </c>
    </row>
    <row r="34" spans="2:5" ht="16.5" customHeight="1">
      <c r="B34" s="440" t="s">
        <v>596</v>
      </c>
      <c r="C34" s="440"/>
      <c r="D34" s="177">
        <f>WEEKNUM("2005/2/14")+2</f>
        <v>10</v>
      </c>
      <c r="E34" s="178" t="s">
        <v>595</v>
      </c>
    </row>
    <row r="35" ht="13.5">
      <c r="D35" s="179"/>
    </row>
    <row r="36" ht="13.5">
      <c r="B36" s="83" t="s">
        <v>961</v>
      </c>
    </row>
    <row r="37" spans="2:5" ht="13.5">
      <c r="B37" s="440" t="s">
        <v>597</v>
      </c>
      <c r="C37" s="458"/>
      <c r="D37" s="458"/>
      <c r="E37" s="458"/>
    </row>
    <row r="38" spans="3:5" ht="13.5">
      <c r="C38" s="181"/>
      <c r="D38" s="478" t="str">
        <f>"2005年2月14日は今年"&amp;WEEKNUM("2005/2/14")&amp;"週目です。"</f>
        <v>2005年2月14日は今年8週目です。</v>
      </c>
      <c r="E38" s="458"/>
    </row>
    <row r="40" spans="2:4" ht="13.5">
      <c r="B40" s="54" t="s">
        <v>598</v>
      </c>
      <c r="C40" s="55"/>
      <c r="D40" s="55"/>
    </row>
    <row r="41" spans="4:5" ht="13.5">
      <c r="D41" s="490" t="e">
        <f ca="1">"残すところ今年は"&amp;(53-(WEEKNUM(TODAY()))&amp;"週です。")</f>
        <v>#NAME?</v>
      </c>
      <c r="E41" s="458"/>
    </row>
    <row r="42" spans="2:5" ht="13.5">
      <c r="B42" s="54" t="s">
        <v>599</v>
      </c>
      <c r="C42" s="55"/>
      <c r="D42" s="55"/>
      <c r="E42" s="55"/>
    </row>
    <row r="43" spans="4:5" ht="13.5">
      <c r="D43" s="136" t="e">
        <f ca="1">"残すところ今年は"&amp;(WEEKNUM("2005/12/31")-(WEEKNUM(TODAY()))&amp;"週です。")</f>
        <v>#NAME?</v>
      </c>
      <c r="E43" s="136"/>
    </row>
  </sheetData>
  <mergeCells count="24">
    <mergeCell ref="B24:C24"/>
    <mergeCell ref="B25:C25"/>
    <mergeCell ref="B15:B16"/>
    <mergeCell ref="C19:E19"/>
    <mergeCell ref="B23:C23"/>
    <mergeCell ref="B22:C22"/>
    <mergeCell ref="B10:E13"/>
    <mergeCell ref="B14:E14"/>
    <mergeCell ref="C17:E18"/>
    <mergeCell ref="B17:B18"/>
    <mergeCell ref="C15:E16"/>
    <mergeCell ref="B3:E3"/>
    <mergeCell ref="B4:E5"/>
    <mergeCell ref="B7:E7"/>
    <mergeCell ref="B9:E9"/>
    <mergeCell ref="B26:C26"/>
    <mergeCell ref="D41:E41"/>
    <mergeCell ref="D38:E38"/>
    <mergeCell ref="B34:C34"/>
    <mergeCell ref="B28:E28"/>
    <mergeCell ref="B33:C33"/>
    <mergeCell ref="B30:C30"/>
    <mergeCell ref="B29:C29"/>
    <mergeCell ref="B37:E37"/>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&amp;L2005/2&amp;C&amp;P/&amp;N</oddFooter>
  </headerFooter>
  <drawing r:id="rId1"/>
</worksheet>
</file>

<file path=xl/worksheets/sheet14.xml><?xml version="1.0" encoding="utf-8"?>
<worksheet xmlns="http://schemas.openxmlformats.org/spreadsheetml/2006/main" xmlns:r="http://schemas.openxmlformats.org/officeDocument/2006/relationships">
  <sheetPr codeName="Sheet3"/>
  <dimension ref="A1:E36"/>
  <sheetViews>
    <sheetView workbookViewId="0" topLeftCell="A13">
      <selection activeCell="B1" sqref="B1"/>
    </sheetView>
  </sheetViews>
  <sheetFormatPr defaultColWidth="9.00390625" defaultRowHeight="13.5"/>
  <cols>
    <col min="2" max="5" width="19.375" style="0" customWidth="1"/>
  </cols>
  <sheetData>
    <row r="1" spans="1:2" ht="31.5" customHeight="1">
      <c r="A1" s="6"/>
      <c r="B1" s="1" t="s">
        <v>866</v>
      </c>
    </row>
    <row r="3" spans="1:5" ht="13.5">
      <c r="A3" s="40" t="s">
        <v>652</v>
      </c>
      <c r="B3" s="468" t="s">
        <v>874</v>
      </c>
      <c r="C3" s="468"/>
      <c r="D3" s="468"/>
      <c r="E3" s="469"/>
    </row>
    <row r="4" spans="1:5" ht="13.5">
      <c r="A4" s="41"/>
      <c r="B4" s="470" t="s">
        <v>653</v>
      </c>
      <c r="C4" s="470"/>
      <c r="D4" s="470"/>
      <c r="E4" s="471"/>
    </row>
    <row r="5" spans="1:5" ht="13.5">
      <c r="A5" s="41"/>
      <c r="B5" s="470"/>
      <c r="C5" s="470"/>
      <c r="D5" s="470"/>
      <c r="E5" s="471"/>
    </row>
    <row r="6" spans="2:5" ht="13.5">
      <c r="B6" s="4"/>
      <c r="C6" s="4"/>
      <c r="D6" s="4"/>
      <c r="E6" s="4"/>
    </row>
    <row r="7" spans="1:5" ht="13.5">
      <c r="A7" s="42" t="s">
        <v>631</v>
      </c>
      <c r="B7" s="472" t="s">
        <v>873</v>
      </c>
      <c r="C7" s="473"/>
      <c r="D7" s="473"/>
      <c r="E7" s="474"/>
    </row>
    <row r="9" spans="1:5" ht="13.5">
      <c r="A9" s="35" t="s">
        <v>655</v>
      </c>
      <c r="B9" s="499" t="s">
        <v>875</v>
      </c>
      <c r="C9" s="458"/>
      <c r="D9" s="458"/>
      <c r="E9" s="458"/>
    </row>
    <row r="10" spans="1:5" ht="13.5">
      <c r="A10" s="36"/>
      <c r="B10" s="498" t="s">
        <v>893</v>
      </c>
      <c r="C10" s="498"/>
      <c r="D10" s="498"/>
      <c r="E10" s="466"/>
    </row>
    <row r="11" spans="1:5" ht="16.5" customHeight="1">
      <c r="A11" s="10"/>
      <c r="B11" s="11"/>
      <c r="C11" s="11"/>
      <c r="D11" s="11"/>
      <c r="E11" s="11"/>
    </row>
    <row r="12" spans="1:5" ht="16.5" customHeight="1">
      <c r="A12" s="10"/>
      <c r="B12" s="130" t="s">
        <v>882</v>
      </c>
      <c r="C12" s="11"/>
      <c r="D12" s="11"/>
      <c r="E12" s="11"/>
    </row>
    <row r="13" spans="1:5" ht="16.5" customHeight="1">
      <c r="A13" s="10"/>
      <c r="B13" s="151" t="s">
        <v>660</v>
      </c>
      <c r="C13" s="150" t="s">
        <v>661</v>
      </c>
      <c r="D13" s="441" t="s">
        <v>883</v>
      </c>
      <c r="E13" s="441"/>
    </row>
    <row r="14" spans="1:5" ht="16.5" customHeight="1">
      <c r="A14" s="10"/>
      <c r="B14" s="132" t="s">
        <v>878</v>
      </c>
      <c r="C14" s="152">
        <f ca="1">TODAY()</f>
        <v>38853</v>
      </c>
      <c r="D14" s="479" t="s">
        <v>879</v>
      </c>
      <c r="E14" s="479"/>
    </row>
    <row r="15" spans="1:5" ht="16.5" customHeight="1">
      <c r="A15" s="10"/>
      <c r="B15" s="132" t="s">
        <v>878</v>
      </c>
      <c r="C15" s="153">
        <f ca="1">TODAY()</f>
        <v>38853</v>
      </c>
      <c r="D15" s="479" t="s">
        <v>880</v>
      </c>
      <c r="E15" s="479"/>
    </row>
    <row r="16" spans="1:5" ht="16.5" customHeight="1">
      <c r="A16" s="10"/>
      <c r="B16" s="17"/>
      <c r="C16" s="128"/>
      <c r="D16" s="11"/>
      <c r="E16" s="11"/>
    </row>
    <row r="17" spans="1:5" ht="16.5" customHeight="1">
      <c r="A17" s="10"/>
      <c r="B17" s="129" t="s">
        <v>891</v>
      </c>
      <c r="C17" s="12"/>
      <c r="D17" s="11"/>
      <c r="E17" s="11"/>
    </row>
    <row r="18" spans="1:5" ht="16.5" customHeight="1">
      <c r="A18" s="10"/>
      <c r="B18" s="151" t="s">
        <v>660</v>
      </c>
      <c r="C18" s="150" t="s">
        <v>661</v>
      </c>
      <c r="D18" s="131" t="s">
        <v>883</v>
      </c>
      <c r="E18" s="11"/>
    </row>
    <row r="19" spans="1:5" ht="16.5" customHeight="1">
      <c r="A19" s="10"/>
      <c r="B19" s="156" t="s">
        <v>881</v>
      </c>
      <c r="C19" s="133">
        <f ca="1">TODAY()+1</f>
        <v>38854</v>
      </c>
      <c r="D19" s="157" t="s">
        <v>888</v>
      </c>
      <c r="E19" s="11"/>
    </row>
    <row r="20" spans="1:5" ht="16.5" customHeight="1">
      <c r="A20" s="10"/>
      <c r="B20" s="132" t="s">
        <v>884</v>
      </c>
      <c r="C20" s="152">
        <f ca="1">TODAY()+30</f>
        <v>38883</v>
      </c>
      <c r="D20" s="157" t="s">
        <v>887</v>
      </c>
      <c r="E20" s="11"/>
    </row>
    <row r="21" spans="2:4" ht="16.5" customHeight="1">
      <c r="B21" s="156" t="s">
        <v>885</v>
      </c>
      <c r="C21" s="152">
        <f ca="1">TODAY()-30</f>
        <v>38823</v>
      </c>
      <c r="D21" s="157" t="s">
        <v>886</v>
      </c>
    </row>
    <row r="22" spans="2:4" ht="16.5" customHeight="1">
      <c r="B22" s="127"/>
      <c r="C22" s="127"/>
      <c r="D22" s="11"/>
    </row>
    <row r="23" spans="2:4" ht="16.5" customHeight="1">
      <c r="B23" s="129" t="s">
        <v>892</v>
      </c>
      <c r="C23" s="127"/>
      <c r="D23" s="11"/>
    </row>
    <row r="24" spans="2:5" ht="16.5" customHeight="1">
      <c r="B24" s="440" t="s">
        <v>889</v>
      </c>
      <c r="C24" s="430"/>
      <c r="D24" s="153" t="str">
        <f ca="1">"今日は"&amp;TODAY()&amp;"です。"</f>
        <v>今日は38853です。</v>
      </c>
      <c r="E24" s="11"/>
    </row>
    <row r="25" spans="2:5" ht="16.5" customHeight="1">
      <c r="B25" s="434" t="s">
        <v>894</v>
      </c>
      <c r="C25" s="458"/>
      <c r="D25" s="458"/>
      <c r="E25" s="458"/>
    </row>
    <row r="26" spans="2:5" ht="16.5" customHeight="1">
      <c r="B26" s="458"/>
      <c r="C26" s="458"/>
      <c r="D26" s="458"/>
      <c r="E26" s="458"/>
    </row>
    <row r="27" spans="2:5" ht="16.5" customHeight="1">
      <c r="B27" s="458"/>
      <c r="C27" s="458"/>
      <c r="D27" s="458"/>
      <c r="E27" s="458"/>
    </row>
    <row r="28" spans="2:3" ht="16.5" customHeight="1">
      <c r="B28" s="17"/>
      <c r="C28" s="124"/>
    </row>
    <row r="29" spans="2:4" ht="16.5" customHeight="1">
      <c r="B29" s="440" t="s">
        <v>890</v>
      </c>
      <c r="C29" s="430"/>
      <c r="D29" s="430"/>
    </row>
    <row r="30" spans="2:4" ht="16.5" customHeight="1">
      <c r="B30" s="497" t="str">
        <f ca="1">"今日は"&amp;TEXT(TODAY(),"yyyy 年mm月dd日"&amp;"です。")</f>
        <v>今日は2006 年05月16日です.</v>
      </c>
      <c r="C30" s="490"/>
      <c r="D30" s="490"/>
    </row>
    <row r="31" spans="2:4" ht="16.5" customHeight="1">
      <c r="B31" s="17"/>
      <c r="C31" s="11"/>
      <c r="D31" s="11"/>
    </row>
    <row r="32" spans="2:3" ht="16.5" customHeight="1">
      <c r="B32" s="166" t="s">
        <v>900</v>
      </c>
      <c r="C32" s="10"/>
    </row>
    <row r="33" spans="2:3" ht="16.5" customHeight="1">
      <c r="B33" s="168" t="s">
        <v>704</v>
      </c>
      <c r="C33" s="167">
        <f ca="1">TODAY()</f>
        <v>38853</v>
      </c>
    </row>
    <row r="34" spans="2:4" ht="16.5" customHeight="1">
      <c r="B34" s="169" t="s">
        <v>166</v>
      </c>
      <c r="C34" s="170"/>
      <c r="D34" s="55"/>
    </row>
    <row r="35" spans="2:4" ht="16.5" customHeight="1">
      <c r="B35" s="134" t="str">
        <f>"今日は"&amp;TEXT((C33),"yyyyy/m/d aaaa")&amp;"です。"</f>
        <v>今日は2006/5/16 火曜日です。</v>
      </c>
      <c r="C35" s="134"/>
      <c r="D35" s="136"/>
    </row>
    <row r="36" spans="2:3" ht="16.5" customHeight="1">
      <c r="B36" s="16"/>
      <c r="C36" s="5"/>
    </row>
  </sheetData>
  <mergeCells count="12">
    <mergeCell ref="B3:E3"/>
    <mergeCell ref="B4:E5"/>
    <mergeCell ref="B7:E7"/>
    <mergeCell ref="B24:C24"/>
    <mergeCell ref="B10:E10"/>
    <mergeCell ref="B9:E9"/>
    <mergeCell ref="D15:E15"/>
    <mergeCell ref="D14:E14"/>
    <mergeCell ref="B29:D29"/>
    <mergeCell ref="B30:D30"/>
    <mergeCell ref="B25:E27"/>
    <mergeCell ref="D13:E13"/>
  </mergeCells>
  <printOptions/>
  <pageMargins left="0.7874015748031497" right="0.7874015748031497" top="0.984251968503937" bottom="0.984251968503937" header="0.5118110236220472" footer="0.5118110236220472"/>
  <pageSetup cellComments="asDisplayed" orientation="portrait" paperSize="9" r:id="rId4"/>
  <headerFooter alignWithMargins="0">
    <oddHeader>&amp;L&amp;"Century,斜体"&amp;10SystemKOMACO&amp;RExcel：&amp;A</oddHeader>
    <oddFooter>&amp;L2005/2&amp;C&amp;P/&amp;N</oddFooter>
  </headerFooter>
  <drawing r:id="rId3"/>
  <legacyDrawing r:id="rId2"/>
</worksheet>
</file>

<file path=xl/worksheets/sheet15.xml><?xml version="1.0" encoding="utf-8"?>
<worksheet xmlns="http://schemas.openxmlformats.org/spreadsheetml/2006/main" xmlns:r="http://schemas.openxmlformats.org/officeDocument/2006/relationships">
  <sheetPr codeName="Sheet4"/>
  <dimension ref="A1:J42"/>
  <sheetViews>
    <sheetView workbookViewId="0" topLeftCell="A7">
      <selection activeCell="B1" sqref="B1"/>
    </sheetView>
  </sheetViews>
  <sheetFormatPr defaultColWidth="9.00390625" defaultRowHeight="13.5"/>
  <cols>
    <col min="2" max="5" width="19.375" style="0" customWidth="1"/>
    <col min="10" max="10" width="16.125" style="0" bestFit="1" customWidth="1"/>
  </cols>
  <sheetData>
    <row r="1" spans="1:2" ht="31.5" customHeight="1">
      <c r="A1" s="6"/>
      <c r="B1" s="1" t="s">
        <v>867</v>
      </c>
    </row>
    <row r="3" spans="1:5" ht="13.5">
      <c r="A3" s="40" t="s">
        <v>652</v>
      </c>
      <c r="B3" s="468" t="s">
        <v>895</v>
      </c>
      <c r="C3" s="468"/>
      <c r="D3" s="468"/>
      <c r="E3" s="469"/>
    </row>
    <row r="4" spans="1:5" ht="14.25" customHeight="1">
      <c r="A4" s="41"/>
      <c r="B4" s="502" t="s">
        <v>922</v>
      </c>
      <c r="C4" s="503"/>
      <c r="D4" s="503"/>
      <c r="E4" s="503"/>
    </row>
    <row r="5" spans="1:5" ht="14.25" customHeight="1">
      <c r="A5" s="41"/>
      <c r="B5" s="502"/>
      <c r="C5" s="503"/>
      <c r="D5" s="503"/>
      <c r="E5" s="503"/>
    </row>
    <row r="6" spans="2:5" ht="13.5">
      <c r="B6" s="4"/>
      <c r="C6" s="4"/>
      <c r="D6" s="4"/>
      <c r="E6" s="4"/>
    </row>
    <row r="7" spans="1:5" ht="13.5">
      <c r="A7" s="42" t="s">
        <v>631</v>
      </c>
      <c r="B7" s="472" t="s">
        <v>896</v>
      </c>
      <c r="C7" s="473"/>
      <c r="D7" s="473"/>
      <c r="E7" s="474"/>
    </row>
    <row r="9" spans="1:5" ht="13.5">
      <c r="A9" s="35" t="s">
        <v>655</v>
      </c>
      <c r="B9" s="499" t="s">
        <v>875</v>
      </c>
      <c r="C9" s="458"/>
      <c r="D9" s="458"/>
      <c r="E9" s="458"/>
    </row>
    <row r="10" spans="1:5" ht="13.5">
      <c r="A10" s="36"/>
      <c r="B10" s="466" t="s">
        <v>897</v>
      </c>
      <c r="C10" s="458"/>
      <c r="D10" s="458"/>
      <c r="E10" s="458"/>
    </row>
    <row r="11" spans="1:5" ht="16.5" customHeight="1">
      <c r="A11" s="10"/>
      <c r="B11" s="11"/>
      <c r="C11" s="11"/>
      <c r="D11" s="11"/>
      <c r="E11" s="11"/>
    </row>
    <row r="12" spans="1:5" ht="16.5" customHeight="1">
      <c r="A12" s="10"/>
      <c r="B12" s="130" t="s">
        <v>882</v>
      </c>
      <c r="C12" s="11"/>
      <c r="D12" s="11"/>
      <c r="E12" s="159"/>
    </row>
    <row r="13" spans="1:5" ht="16.5" customHeight="1">
      <c r="A13" s="10"/>
      <c r="B13" s="151" t="s">
        <v>660</v>
      </c>
      <c r="C13" s="150" t="s">
        <v>661</v>
      </c>
      <c r="D13" s="441" t="s">
        <v>883</v>
      </c>
      <c r="E13" s="441"/>
    </row>
    <row r="14" spans="1:10" ht="16.5" customHeight="1">
      <c r="A14" s="10"/>
      <c r="B14" s="165" t="s">
        <v>898</v>
      </c>
      <c r="C14" s="163">
        <f ca="1">NOW()</f>
        <v>38853.95200636574</v>
      </c>
      <c r="D14" s="501" t="s">
        <v>917</v>
      </c>
      <c r="E14" s="501"/>
      <c r="J14" s="158"/>
    </row>
    <row r="15" spans="1:5" ht="16.5" customHeight="1">
      <c r="A15" s="10"/>
      <c r="B15" s="165" t="s">
        <v>898</v>
      </c>
      <c r="C15" s="164">
        <f ca="1">NOW()</f>
        <v>38853.95200636574</v>
      </c>
      <c r="D15" s="162" t="s">
        <v>899</v>
      </c>
      <c r="E15" s="162"/>
    </row>
    <row r="16" spans="1:5" ht="16.5" customHeight="1">
      <c r="A16" s="10"/>
      <c r="B16" s="128"/>
      <c r="C16" s="159"/>
      <c r="D16" s="159"/>
      <c r="E16" s="159"/>
    </row>
    <row r="17" spans="1:5" ht="16.5" customHeight="1">
      <c r="A17" s="10"/>
      <c r="B17" s="442" t="s">
        <v>916</v>
      </c>
      <c r="C17" s="458"/>
      <c r="D17" s="458"/>
      <c r="E17" s="458"/>
    </row>
    <row r="18" spans="1:5" ht="16.5" customHeight="1">
      <c r="A18" s="10"/>
      <c r="B18" s="151" t="s">
        <v>660</v>
      </c>
      <c r="C18" s="150" t="s">
        <v>661</v>
      </c>
      <c r="D18" s="131" t="s">
        <v>883</v>
      </c>
      <c r="E18" s="159"/>
    </row>
    <row r="19" spans="2:5" ht="16.5" customHeight="1">
      <c r="B19" s="165" t="s">
        <v>910</v>
      </c>
      <c r="C19" s="163">
        <f ca="1">NOW()+1</f>
        <v>38854.95200636574</v>
      </c>
      <c r="D19" s="173" t="s">
        <v>913</v>
      </c>
      <c r="E19" s="161"/>
    </row>
    <row r="20" spans="2:5" ht="16.5" customHeight="1">
      <c r="B20" s="165" t="s">
        <v>911</v>
      </c>
      <c r="C20" s="163">
        <f ca="1">NOW()+0.5</f>
        <v>38854.45200636574</v>
      </c>
      <c r="D20" s="173" t="s">
        <v>914</v>
      </c>
      <c r="E20" s="161"/>
    </row>
    <row r="21" spans="2:5" ht="16.5" customHeight="1">
      <c r="B21" s="165" t="s">
        <v>912</v>
      </c>
      <c r="C21" s="163">
        <f ca="1">NOW()+(1/24)</f>
        <v>38853.993673032404</v>
      </c>
      <c r="D21" s="173" t="s">
        <v>915</v>
      </c>
      <c r="E21" s="161"/>
    </row>
    <row r="22" spans="2:5" ht="16.5" customHeight="1">
      <c r="B22" s="165" t="s">
        <v>918</v>
      </c>
      <c r="C22" s="163">
        <f ca="1">NOW()+(10/(24*60))</f>
        <v>38853.958950810185</v>
      </c>
      <c r="D22" s="173" t="s">
        <v>919</v>
      </c>
      <c r="E22" s="161"/>
    </row>
    <row r="23" spans="2:5" ht="16.5" customHeight="1">
      <c r="B23" s="160"/>
      <c r="C23" s="172"/>
      <c r="D23" s="161"/>
      <c r="E23" s="161"/>
    </row>
    <row r="24" spans="2:4" ht="16.5" customHeight="1">
      <c r="B24" s="129" t="s">
        <v>892</v>
      </c>
      <c r="C24" s="127"/>
      <c r="D24" s="11"/>
    </row>
    <row r="25" spans="2:5" ht="16.5" customHeight="1">
      <c r="B25" s="440" t="s">
        <v>921</v>
      </c>
      <c r="C25" s="430"/>
      <c r="D25" s="500" t="str">
        <f ca="1">"今は"&amp;NOW()&amp;"です。"</f>
        <v>今は38853.9520063657です。</v>
      </c>
      <c r="E25" s="458"/>
    </row>
    <row r="26" spans="2:5" ht="16.5" customHeight="1">
      <c r="B26" s="434" t="s">
        <v>920</v>
      </c>
      <c r="C26" s="458"/>
      <c r="D26" s="458"/>
      <c r="E26" s="458"/>
    </row>
    <row r="27" spans="2:5" ht="13.5">
      <c r="B27" s="458"/>
      <c r="C27" s="458"/>
      <c r="D27" s="458"/>
      <c r="E27" s="458"/>
    </row>
    <row r="28" spans="2:5" ht="13.5">
      <c r="B28" s="458"/>
      <c r="C28" s="458"/>
      <c r="D28" s="458"/>
      <c r="E28" s="458"/>
    </row>
    <row r="29" spans="2:3" ht="13.5">
      <c r="B29" s="17"/>
      <c r="C29" s="124"/>
    </row>
    <row r="30" spans="2:4" ht="13.5">
      <c r="B30" s="440" t="s">
        <v>924</v>
      </c>
      <c r="C30" s="430"/>
      <c r="D30" s="430"/>
    </row>
    <row r="31" spans="2:4" ht="13.5" customHeight="1">
      <c r="B31" s="497" t="str">
        <f ca="1">"今は"&amp;TEXT(NOW(),"yyyy 年mm月dd日 h時mm分ss.00秒"&amp;"です。")</f>
        <v>今は2006 年05月16日 22時50分53.35秒です.</v>
      </c>
      <c r="C31" s="490"/>
      <c r="D31" s="490"/>
    </row>
    <row r="32" spans="2:5" ht="13.5">
      <c r="B32" s="161"/>
      <c r="C32" s="161"/>
      <c r="D32" s="161"/>
      <c r="E32" s="161"/>
    </row>
    <row r="33" spans="2:5" ht="13.5">
      <c r="B33" s="166" t="s">
        <v>900</v>
      </c>
      <c r="C33" s="10"/>
      <c r="E33" s="161"/>
    </row>
    <row r="34" spans="2:5" ht="13.5">
      <c r="B34" s="168" t="s">
        <v>923</v>
      </c>
      <c r="C34" s="174">
        <f ca="1">NOW()</f>
        <v>38853.95200636574</v>
      </c>
      <c r="E34" s="161"/>
    </row>
    <row r="35" spans="2:4" ht="13.5">
      <c r="B35" s="169" t="s">
        <v>165</v>
      </c>
      <c r="C35" s="170"/>
      <c r="D35" s="55"/>
    </row>
    <row r="36" spans="2:4" ht="13.5">
      <c r="B36" s="134" t="str">
        <f>"今は"&amp;TEXT((C34),"yyyyy/m/d aaaa h:mm:ss")&amp;"です。"</f>
        <v>今は2006/5/16 火曜日 22:50:53です。</v>
      </c>
      <c r="C36" s="134"/>
      <c r="D36" s="136"/>
    </row>
    <row r="39" ht="13.5">
      <c r="B39" s="83" t="s">
        <v>925</v>
      </c>
    </row>
    <row r="40" ht="13.5">
      <c r="B40" t="s">
        <v>926</v>
      </c>
    </row>
    <row r="41" spans="2:4" ht="13.5">
      <c r="B41" s="54" t="s">
        <v>927</v>
      </c>
      <c r="C41" s="135">
        <f ca="1">NOW()+NOW()</f>
        <v>77707.90401273148</v>
      </c>
      <c r="D41" t="s">
        <v>928</v>
      </c>
    </row>
    <row r="42" spans="3:4" ht="13.5">
      <c r="C42" s="175">
        <f ca="1">NOW()+NOW()</f>
        <v>77707.90401273148</v>
      </c>
      <c r="D42" t="s">
        <v>929</v>
      </c>
    </row>
  </sheetData>
  <mergeCells count="13">
    <mergeCell ref="B10:E10"/>
    <mergeCell ref="B3:E3"/>
    <mergeCell ref="B4:E5"/>
    <mergeCell ref="B7:E7"/>
    <mergeCell ref="B9:E9"/>
    <mergeCell ref="D14:E14"/>
    <mergeCell ref="D13:E13"/>
    <mergeCell ref="B17:E17"/>
    <mergeCell ref="B25:C25"/>
    <mergeCell ref="B26:E28"/>
    <mergeCell ref="B30:D30"/>
    <mergeCell ref="B31:D31"/>
    <mergeCell ref="D25:E25"/>
  </mergeCells>
  <printOptions/>
  <pageMargins left="0.7874015748031497" right="0.7874015748031497" top="0.984251968503937" bottom="0.984251968503937" header="0.5118110236220472" footer="0.5118110236220472"/>
  <pageSetup cellComments="asDisplayed" orientation="portrait" paperSize="9" r:id="rId4"/>
  <headerFooter alignWithMargins="0">
    <oddHeader>&amp;L&amp;"Century,斜体"&amp;10SystemKOMACO&amp;RExcel：&amp;A</oddHeader>
    <oddFooter>&amp;L2005/2&amp;C&amp;P/&amp;N</oddFooter>
  </headerFooter>
  <drawing r:id="rId3"/>
  <legacyDrawing r:id="rId2"/>
</worksheet>
</file>

<file path=xl/worksheets/sheet16.xml><?xml version="1.0" encoding="utf-8"?>
<worksheet xmlns="http://schemas.openxmlformats.org/spreadsheetml/2006/main" xmlns:r="http://schemas.openxmlformats.org/officeDocument/2006/relationships">
  <sheetPr codeName="Sheet5"/>
  <dimension ref="A1:E75"/>
  <sheetViews>
    <sheetView workbookViewId="0" topLeftCell="A37">
      <selection activeCell="B1" sqref="B1"/>
    </sheetView>
  </sheetViews>
  <sheetFormatPr defaultColWidth="9.00390625" defaultRowHeight="13.5"/>
  <cols>
    <col min="2" max="5" width="19.375" style="0" customWidth="1"/>
  </cols>
  <sheetData>
    <row r="1" spans="1:2" ht="31.5" customHeight="1">
      <c r="A1" s="6"/>
      <c r="B1" s="1" t="s">
        <v>650</v>
      </c>
    </row>
    <row r="3" spans="1:5" ht="13.5">
      <c r="A3" s="40" t="s">
        <v>652</v>
      </c>
      <c r="B3" s="468" t="s">
        <v>825</v>
      </c>
      <c r="C3" s="468"/>
      <c r="D3" s="468"/>
      <c r="E3" s="469"/>
    </row>
    <row r="4" spans="1:5" ht="13.5">
      <c r="A4" s="41"/>
      <c r="B4" s="470" t="s">
        <v>653</v>
      </c>
      <c r="C4" s="470"/>
      <c r="D4" s="470"/>
      <c r="E4" s="471"/>
    </row>
    <row r="5" spans="1:5" ht="13.5">
      <c r="A5" s="41"/>
      <c r="B5" s="470"/>
      <c r="C5" s="470"/>
      <c r="D5" s="470"/>
      <c r="E5" s="471"/>
    </row>
    <row r="6" spans="2:5" ht="13.5">
      <c r="B6" s="4"/>
      <c r="C6" s="4"/>
      <c r="D6" s="4"/>
      <c r="E6" s="4"/>
    </row>
    <row r="7" spans="1:5" ht="13.5">
      <c r="A7" s="42" t="s">
        <v>631</v>
      </c>
      <c r="B7" s="472" t="s">
        <v>654</v>
      </c>
      <c r="C7" s="473"/>
      <c r="D7" s="473"/>
      <c r="E7" s="474"/>
    </row>
    <row r="9" spans="1:5" ht="13.5">
      <c r="A9" s="35" t="s">
        <v>655</v>
      </c>
      <c r="B9" s="505" t="s">
        <v>657</v>
      </c>
      <c r="C9" s="498"/>
      <c r="D9" s="498"/>
      <c r="E9" s="466"/>
    </row>
    <row r="10" spans="1:5" ht="13.5">
      <c r="A10" s="36"/>
      <c r="B10" s="498"/>
      <c r="C10" s="498"/>
      <c r="D10" s="498"/>
      <c r="E10" s="466"/>
    </row>
    <row r="11" spans="1:5" ht="13.5">
      <c r="A11" s="36"/>
      <c r="B11" s="498" t="s">
        <v>22</v>
      </c>
      <c r="C11" s="498"/>
      <c r="D11" s="498"/>
      <c r="E11" s="466"/>
    </row>
    <row r="12" spans="1:5" ht="13.5">
      <c r="A12" s="36"/>
      <c r="B12" s="498"/>
      <c r="C12" s="498"/>
      <c r="D12" s="498"/>
      <c r="E12" s="466"/>
    </row>
    <row r="13" spans="1:5" ht="13.5">
      <c r="A13" s="36"/>
      <c r="B13" s="498"/>
      <c r="C13" s="498"/>
      <c r="D13" s="498"/>
      <c r="E13" s="466"/>
    </row>
    <row r="14" spans="1:5" ht="13.5">
      <c r="A14" s="36"/>
      <c r="B14" s="507" t="s">
        <v>658</v>
      </c>
      <c r="C14" s="507"/>
      <c r="D14" s="507"/>
      <c r="E14" s="508"/>
    </row>
    <row r="15" spans="1:5" ht="13.5">
      <c r="A15" s="36"/>
      <c r="B15" s="37" t="s">
        <v>659</v>
      </c>
      <c r="C15" s="37"/>
      <c r="D15" s="37"/>
      <c r="E15" s="38"/>
    </row>
    <row r="16" spans="1:5" ht="13.5">
      <c r="A16" s="36"/>
      <c r="B16" s="39"/>
      <c r="C16" s="66"/>
      <c r="D16" s="66"/>
      <c r="E16" s="66"/>
    </row>
    <row r="17" spans="1:5" ht="13.5">
      <c r="A17" s="36"/>
      <c r="B17" s="505" t="s">
        <v>663</v>
      </c>
      <c r="C17" s="498"/>
      <c r="D17" s="498"/>
      <c r="E17" s="466"/>
    </row>
    <row r="18" spans="1:5" ht="13.5">
      <c r="A18" s="36"/>
      <c r="B18" s="498"/>
      <c r="C18" s="498"/>
      <c r="D18" s="498"/>
      <c r="E18" s="466"/>
    </row>
    <row r="19" spans="1:5" ht="13.5">
      <c r="A19" s="36"/>
      <c r="B19" s="39"/>
      <c r="C19" s="66"/>
      <c r="D19" s="66"/>
      <c r="E19" s="66"/>
    </row>
    <row r="20" spans="1:5" ht="13.5">
      <c r="A20" s="36"/>
      <c r="B20" s="505" t="s">
        <v>664</v>
      </c>
      <c r="C20" s="506"/>
      <c r="D20" s="506"/>
      <c r="E20" s="467"/>
    </row>
    <row r="21" spans="1:5" ht="16.5" customHeight="1">
      <c r="A21" s="36"/>
      <c r="B21" s="506"/>
      <c r="C21" s="506"/>
      <c r="D21" s="506"/>
      <c r="E21" s="467"/>
    </row>
    <row r="22" spans="1:5" ht="16.5" customHeight="1">
      <c r="A22" s="36"/>
      <c r="B22" s="506"/>
      <c r="C22" s="506"/>
      <c r="D22" s="506"/>
      <c r="E22" s="467"/>
    </row>
    <row r="23" spans="1:5" ht="16.5" customHeight="1">
      <c r="A23" s="10"/>
      <c r="B23" s="11"/>
      <c r="C23" s="11"/>
      <c r="D23" s="11"/>
      <c r="E23" s="11"/>
    </row>
    <row r="24" spans="1:5" ht="16.5" customHeight="1">
      <c r="A24" s="10"/>
      <c r="B24" s="31" t="s">
        <v>656</v>
      </c>
      <c r="C24" s="32"/>
      <c r="D24" s="11"/>
      <c r="E24" s="11"/>
    </row>
    <row r="25" spans="1:5" ht="16.5" customHeight="1">
      <c r="A25" s="10"/>
      <c r="B25" s="151" t="s">
        <v>660</v>
      </c>
      <c r="C25" s="150" t="s">
        <v>661</v>
      </c>
      <c r="D25" s="131" t="s">
        <v>883</v>
      </c>
      <c r="E25" s="11"/>
    </row>
    <row r="26" spans="1:5" ht="16.5" customHeight="1">
      <c r="A26" s="10"/>
      <c r="B26" s="132" t="s">
        <v>684</v>
      </c>
      <c r="C26" s="133">
        <f>DATE(1865,11,25)</f>
        <v>681508</v>
      </c>
      <c r="D26" s="157" t="s">
        <v>1056</v>
      </c>
      <c r="E26" s="11"/>
    </row>
    <row r="27" spans="1:5" ht="16.5" customHeight="1">
      <c r="A27" s="10"/>
      <c r="B27" s="132" t="s">
        <v>685</v>
      </c>
      <c r="C27" s="133">
        <f>DATE(65,11,25)</f>
        <v>24071</v>
      </c>
      <c r="D27" s="157"/>
      <c r="E27" s="11"/>
    </row>
    <row r="28" spans="1:5" ht="16.5" customHeight="1">
      <c r="A28" s="10"/>
      <c r="B28" s="132" t="s">
        <v>686</v>
      </c>
      <c r="C28" s="133" t="e">
        <f>DATE(-1492,9,10)</f>
        <v>#NUM!</v>
      </c>
      <c r="D28" s="157" t="s">
        <v>670</v>
      </c>
      <c r="E28" s="11"/>
    </row>
    <row r="29" spans="1:5" ht="16.5" customHeight="1">
      <c r="A29" s="10"/>
      <c r="B29" s="132" t="s">
        <v>687</v>
      </c>
      <c r="C29" s="133" t="e">
        <f>DATE(10000,1,1)</f>
        <v>#NUM!</v>
      </c>
      <c r="D29" s="157" t="s">
        <v>671</v>
      </c>
      <c r="E29" s="11"/>
    </row>
    <row r="30" spans="1:5" ht="16.5" customHeight="1">
      <c r="A30" s="10"/>
      <c r="B30" s="11"/>
      <c r="C30" s="12"/>
      <c r="D30" s="11"/>
      <c r="E30" s="11"/>
    </row>
    <row r="31" spans="2:3" ht="16.5" customHeight="1">
      <c r="B31" s="30" t="s">
        <v>662</v>
      </c>
      <c r="C31" s="29"/>
    </row>
    <row r="32" spans="2:4" ht="16.5" customHeight="1">
      <c r="B32" s="54" t="s">
        <v>683</v>
      </c>
      <c r="C32" s="134">
        <f>DATE(2005,14,2)</f>
        <v>38750</v>
      </c>
      <c r="D32" s="178" t="s">
        <v>668</v>
      </c>
    </row>
    <row r="33" spans="2:4" ht="16.5" customHeight="1">
      <c r="B33" s="132" t="s">
        <v>682</v>
      </c>
      <c r="C33" s="134">
        <f>DATE(2005,-3,10)</f>
        <v>38240</v>
      </c>
      <c r="D33" s="182" t="s">
        <v>673</v>
      </c>
    </row>
    <row r="34" ht="16.5" customHeight="1"/>
    <row r="35" spans="2:3" ht="16.5" customHeight="1">
      <c r="B35" s="29" t="s">
        <v>669</v>
      </c>
      <c r="C35" s="29"/>
    </row>
    <row r="36" spans="2:4" ht="16.5" customHeight="1">
      <c r="B36" s="54" t="s">
        <v>681</v>
      </c>
      <c r="C36" s="134">
        <f>DATE(2005,3,35)</f>
        <v>38446</v>
      </c>
      <c r="D36" s="178" t="s">
        <v>667</v>
      </c>
    </row>
    <row r="37" spans="2:4" ht="16.5" customHeight="1">
      <c r="B37" s="54" t="s">
        <v>680</v>
      </c>
      <c r="C37" s="134">
        <f>DATE(2005,3,0)</f>
        <v>38411</v>
      </c>
      <c r="D37" s="178" t="s">
        <v>666</v>
      </c>
    </row>
    <row r="38" spans="2:4" ht="16.5" customHeight="1">
      <c r="B38" s="54" t="s">
        <v>679</v>
      </c>
      <c r="C38" s="134">
        <f>DATE(2008,3,0)</f>
        <v>39507</v>
      </c>
      <c r="D38" s="178" t="s">
        <v>665</v>
      </c>
    </row>
    <row r="39" spans="2:4" ht="13.5">
      <c r="B39" s="54" t="s">
        <v>678</v>
      </c>
      <c r="C39" s="134">
        <f>DATE(2005,3,-1)</f>
        <v>38410</v>
      </c>
      <c r="D39" s="178" t="s">
        <v>672</v>
      </c>
    </row>
    <row r="40" ht="14.25" thickBot="1"/>
    <row r="41" spans="2:4" ht="13.5">
      <c r="B41" s="18" t="s">
        <v>688</v>
      </c>
      <c r="C41" s="19"/>
      <c r="D41" s="20"/>
    </row>
    <row r="42" spans="2:4" ht="13.5">
      <c r="B42" s="21" t="s">
        <v>674</v>
      </c>
      <c r="C42" s="22" t="s">
        <v>675</v>
      </c>
      <c r="D42" s="23" t="s">
        <v>676</v>
      </c>
    </row>
    <row r="43" spans="2:4" ht="13.5">
      <c r="B43" s="24">
        <v>2005</v>
      </c>
      <c r="C43" s="25">
        <v>5</v>
      </c>
      <c r="D43" s="26">
        <v>5</v>
      </c>
    </row>
    <row r="44" spans="2:4" ht="13.5">
      <c r="B44" s="24"/>
      <c r="C44" s="25"/>
      <c r="D44" s="26"/>
    </row>
    <row r="45" spans="2:5" ht="14.25" thickBot="1">
      <c r="B45" s="27" t="s">
        <v>677</v>
      </c>
      <c r="C45" s="28">
        <f>DATE(B43,C43,D43)</f>
        <v>38477</v>
      </c>
      <c r="D45" s="33">
        <f>DATE(B43,C43,D43)</f>
        <v>38477</v>
      </c>
      <c r="E45" s="178" t="s">
        <v>529</v>
      </c>
    </row>
    <row r="47" spans="2:3" ht="13.5">
      <c r="B47" s="29" t="s">
        <v>689</v>
      </c>
      <c r="C47" s="29"/>
    </row>
    <row r="49" spans="2:5" ht="13.5">
      <c r="B49" s="415" t="s">
        <v>690</v>
      </c>
      <c r="C49" s="416"/>
      <c r="D49" s="416"/>
      <c r="E49" s="417"/>
    </row>
    <row r="50" spans="2:5" ht="13.5">
      <c r="B50" s="418">
        <f ca="1">TODAY()</f>
        <v>38853</v>
      </c>
      <c r="C50" s="223"/>
      <c r="D50" s="223"/>
      <c r="E50" s="419"/>
    </row>
    <row r="51" spans="2:5" ht="13.5">
      <c r="B51" s="420" t="s">
        <v>528</v>
      </c>
      <c r="C51" s="421" t="s">
        <v>691</v>
      </c>
      <c r="D51" s="422">
        <f>(DATE(2101,1,1)-B50)</f>
        <v>34563</v>
      </c>
      <c r="E51" s="419" t="s">
        <v>676</v>
      </c>
    </row>
    <row r="52" spans="2:5" ht="13.5">
      <c r="B52" s="423"/>
      <c r="C52" s="424"/>
      <c r="D52" s="425" t="s">
        <v>527</v>
      </c>
      <c r="E52" s="426"/>
    </row>
    <row r="54" ht="13.5">
      <c r="B54" s="340" t="s">
        <v>11</v>
      </c>
    </row>
    <row r="55" ht="13.5">
      <c r="B55" s="340"/>
    </row>
    <row r="56" ht="13.5">
      <c r="B56" t="s">
        <v>0</v>
      </c>
    </row>
    <row r="57" spans="2:4" ht="13.5">
      <c r="B57" s="327" t="s">
        <v>1</v>
      </c>
      <c r="C57" s="363" t="s">
        <v>12</v>
      </c>
      <c r="D57" s="327" t="s">
        <v>3</v>
      </c>
    </row>
    <row r="58" spans="2:4" ht="13.5">
      <c r="B58" s="327" t="s">
        <v>2</v>
      </c>
      <c r="C58" s="363" t="s">
        <v>12</v>
      </c>
      <c r="D58" s="327" t="s">
        <v>4</v>
      </c>
    </row>
    <row r="60" spans="2:3" ht="13.5">
      <c r="B60" s="151" t="s">
        <v>5</v>
      </c>
      <c r="C60" s="137" t="s">
        <v>6</v>
      </c>
    </row>
    <row r="61" spans="2:3" ht="13.5">
      <c r="B61" s="266" t="s">
        <v>7</v>
      </c>
      <c r="C61" s="134">
        <v>36526</v>
      </c>
    </row>
    <row r="62" spans="2:3" ht="13.5">
      <c r="B62" s="266" t="s">
        <v>8</v>
      </c>
      <c r="C62" s="134">
        <v>47483</v>
      </c>
    </row>
    <row r="63" spans="2:3" ht="13.5">
      <c r="B63" s="255" t="s">
        <v>9</v>
      </c>
      <c r="C63" s="134">
        <v>10959</v>
      </c>
    </row>
    <row r="64" spans="2:3" ht="13.5">
      <c r="B64" s="255" t="s">
        <v>10</v>
      </c>
      <c r="C64" s="134">
        <v>36525</v>
      </c>
    </row>
    <row r="66" ht="13.5">
      <c r="B66" t="s">
        <v>13</v>
      </c>
    </row>
    <row r="67" spans="2:5" ht="13.5">
      <c r="B67" s="151" t="s">
        <v>5</v>
      </c>
      <c r="C67" s="137" t="s">
        <v>661</v>
      </c>
      <c r="D67" s="151" t="s">
        <v>16</v>
      </c>
      <c r="E67" s="240" t="s">
        <v>353</v>
      </c>
    </row>
    <row r="68" spans="2:5" ht="13.5">
      <c r="B68" s="54" t="s">
        <v>15</v>
      </c>
      <c r="C68" s="134">
        <f>DATE(0,1,1)</f>
        <v>1</v>
      </c>
      <c r="D68" s="54" t="s">
        <v>14</v>
      </c>
      <c r="E68" s="479" t="s">
        <v>21</v>
      </c>
    </row>
    <row r="69" spans="2:5" ht="13.5">
      <c r="B69" s="169" t="s">
        <v>17</v>
      </c>
      <c r="C69" s="134">
        <f>DATE(29,12,31)</f>
        <v>10958</v>
      </c>
      <c r="D69" s="169" t="s">
        <v>17</v>
      </c>
      <c r="E69" s="479"/>
    </row>
    <row r="70" spans="2:5" ht="13.5">
      <c r="B70" s="169" t="s">
        <v>18</v>
      </c>
      <c r="C70" s="134">
        <f>DATE(30,1,1)</f>
        <v>10959</v>
      </c>
      <c r="D70" s="169" t="s">
        <v>20</v>
      </c>
      <c r="E70" s="479"/>
    </row>
    <row r="71" spans="2:5" ht="13.5">
      <c r="B71" s="169" t="s">
        <v>19</v>
      </c>
      <c r="C71" s="134">
        <f>DATE(99,12,31)</f>
        <v>36525</v>
      </c>
      <c r="D71" s="169" t="s">
        <v>19</v>
      </c>
      <c r="E71" s="479"/>
    </row>
    <row r="73" spans="2:5" ht="13.5">
      <c r="B73" s="504" t="s">
        <v>23</v>
      </c>
      <c r="C73" s="447"/>
      <c r="D73" s="447"/>
      <c r="E73" s="447"/>
    </row>
    <row r="74" spans="2:5" ht="13.5">
      <c r="B74" s="447"/>
      <c r="C74" s="447"/>
      <c r="D74" s="447"/>
      <c r="E74" s="447"/>
    </row>
    <row r="75" spans="2:5" ht="13.5">
      <c r="B75" s="364" t="s">
        <v>25</v>
      </c>
      <c r="C75" s="178"/>
      <c r="D75" s="178"/>
      <c r="E75" s="178"/>
    </row>
  </sheetData>
  <mergeCells count="10">
    <mergeCell ref="E68:E71"/>
    <mergeCell ref="B73:E74"/>
    <mergeCell ref="B20:E22"/>
    <mergeCell ref="B3:E3"/>
    <mergeCell ref="B4:E5"/>
    <mergeCell ref="B7:E7"/>
    <mergeCell ref="B9:E10"/>
    <mergeCell ref="B11:E13"/>
    <mergeCell ref="B14:E14"/>
    <mergeCell ref="B17:E18"/>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&amp;L2005/2&amp;C&amp;P/&amp;N</oddFooter>
  </headerFooter>
  <ignoredErrors>
    <ignoredError sqref="C28:C29" evalError="1"/>
    <ignoredError sqref="B61:B64" twoDigitTextYear="1"/>
  </ignoredErrors>
  <drawing r:id="rId1"/>
</worksheet>
</file>

<file path=xl/worksheets/sheet17.xml><?xml version="1.0" encoding="utf-8"?>
<worksheet xmlns="http://schemas.openxmlformats.org/spreadsheetml/2006/main" xmlns:r="http://schemas.openxmlformats.org/officeDocument/2006/relationships">
  <sheetPr codeName="Sheet17"/>
  <dimension ref="A1:E58"/>
  <sheetViews>
    <sheetView workbookViewId="0" topLeftCell="A1">
      <selection activeCell="B1" sqref="B1"/>
    </sheetView>
  </sheetViews>
  <sheetFormatPr defaultColWidth="9.00390625" defaultRowHeight="13.5"/>
  <cols>
    <col min="2" max="5" width="19.375" style="0" customWidth="1"/>
  </cols>
  <sheetData>
    <row r="1" spans="1:2" ht="31.5" customHeight="1">
      <c r="A1" s="6"/>
      <c r="B1" s="1" t="s">
        <v>309</v>
      </c>
    </row>
    <row r="3" spans="1:5" ht="13.5">
      <c r="A3" s="40" t="s">
        <v>652</v>
      </c>
      <c r="B3" s="468" t="s">
        <v>311</v>
      </c>
      <c r="C3" s="468"/>
      <c r="D3" s="468"/>
      <c r="E3" s="469"/>
    </row>
    <row r="4" spans="1:5" ht="13.5">
      <c r="A4" s="41"/>
      <c r="B4" s="470" t="s">
        <v>308</v>
      </c>
      <c r="C4" s="470"/>
      <c r="D4" s="470"/>
      <c r="E4" s="471"/>
    </row>
    <row r="5" spans="1:5" ht="13.5">
      <c r="A5" s="41"/>
      <c r="B5" s="470"/>
      <c r="C5" s="470"/>
      <c r="D5" s="470"/>
      <c r="E5" s="471"/>
    </row>
    <row r="6" spans="1:5" ht="13.5">
      <c r="A6" s="203"/>
      <c r="B6" s="471" t="s">
        <v>316</v>
      </c>
      <c r="C6" s="510"/>
      <c r="D6" s="510"/>
      <c r="E6" s="510"/>
    </row>
    <row r="7" spans="1:5" ht="13.5">
      <c r="A7" s="203"/>
      <c r="B7" s="471"/>
      <c r="C7" s="510"/>
      <c r="D7" s="510"/>
      <c r="E7" s="510"/>
    </row>
    <row r="8" spans="2:5" ht="13.5">
      <c r="B8" s="4"/>
      <c r="C8" s="4"/>
      <c r="D8" s="4"/>
      <c r="E8" s="4"/>
    </row>
    <row r="9" spans="1:5" ht="13.5">
      <c r="A9" s="42" t="s">
        <v>631</v>
      </c>
      <c r="B9" s="472" t="s">
        <v>334</v>
      </c>
      <c r="C9" s="473"/>
      <c r="D9" s="473"/>
      <c r="E9" s="474"/>
    </row>
    <row r="11" spans="1:5" ht="13.5">
      <c r="A11" s="35" t="s">
        <v>655</v>
      </c>
      <c r="B11" s="475" t="s">
        <v>312</v>
      </c>
      <c r="C11" s="509"/>
      <c r="D11" s="509"/>
      <c r="E11" s="509"/>
    </row>
    <row r="12" spans="1:5" ht="13.5">
      <c r="A12" s="36"/>
      <c r="B12" s="466"/>
      <c r="C12" s="509"/>
      <c r="D12" s="509"/>
      <c r="E12" s="509"/>
    </row>
    <row r="13" spans="1:5" ht="13.5">
      <c r="A13" s="36"/>
      <c r="B13" s="467"/>
      <c r="C13" s="458"/>
      <c r="D13" s="458"/>
      <c r="E13" s="458"/>
    </row>
    <row r="14" spans="1:5" ht="13.5">
      <c r="A14" s="36"/>
      <c r="B14" s="467"/>
      <c r="C14" s="458"/>
      <c r="D14" s="458"/>
      <c r="E14" s="458"/>
    </row>
    <row r="15" spans="1:5" ht="13.5">
      <c r="A15" s="36"/>
      <c r="B15" s="475" t="s">
        <v>313</v>
      </c>
      <c r="C15" s="509"/>
      <c r="D15" s="509"/>
      <c r="E15" s="509"/>
    </row>
    <row r="16" spans="1:5" ht="13.5">
      <c r="A16" s="36"/>
      <c r="B16" s="466"/>
      <c r="C16" s="509"/>
      <c r="D16" s="509"/>
      <c r="E16" s="509"/>
    </row>
    <row r="17" spans="1:5" ht="13.5">
      <c r="A17" s="36"/>
      <c r="B17" s="467"/>
      <c r="C17" s="458"/>
      <c r="D17" s="458"/>
      <c r="E17" s="458"/>
    </row>
    <row r="18" spans="1:5" ht="13.5">
      <c r="A18" s="36"/>
      <c r="B18" s="467"/>
      <c r="C18" s="458"/>
      <c r="D18" s="458"/>
      <c r="E18" s="458"/>
    </row>
    <row r="19" spans="1:5" ht="13.5">
      <c r="A19" s="66"/>
      <c r="B19" s="512" t="s">
        <v>314</v>
      </c>
      <c r="C19" s="513"/>
      <c r="D19" s="513"/>
      <c r="E19" s="513"/>
    </row>
    <row r="20" spans="1:5" ht="16.5" customHeight="1">
      <c r="A20" s="66"/>
      <c r="B20" s="493"/>
      <c r="C20" s="513"/>
      <c r="D20" s="513"/>
      <c r="E20" s="513"/>
    </row>
    <row r="21" spans="1:5" ht="16.5" customHeight="1">
      <c r="A21" s="66"/>
      <c r="B21" s="493"/>
      <c r="C21" s="513"/>
      <c r="D21" s="513"/>
      <c r="E21" s="513"/>
    </row>
    <row r="22" spans="1:5" ht="16.5" customHeight="1">
      <c r="A22" s="66"/>
      <c r="B22" s="493"/>
      <c r="C22" s="513"/>
      <c r="D22" s="513"/>
      <c r="E22" s="513"/>
    </row>
    <row r="23" spans="1:5" ht="16.5" customHeight="1">
      <c r="A23" s="10"/>
      <c r="B23" s="11"/>
      <c r="C23" s="11"/>
      <c r="D23" s="11"/>
      <c r="E23" s="11"/>
    </row>
    <row r="24" spans="1:5" ht="16.5" customHeight="1">
      <c r="A24" s="10"/>
      <c r="B24" s="130" t="s">
        <v>882</v>
      </c>
      <c r="C24" s="11"/>
      <c r="D24" s="11"/>
      <c r="E24" s="11"/>
    </row>
    <row r="25" spans="1:5" ht="16.5" customHeight="1">
      <c r="A25" s="10"/>
      <c r="B25" s="151" t="s">
        <v>660</v>
      </c>
      <c r="C25" s="150" t="s">
        <v>661</v>
      </c>
      <c r="D25" s="441" t="s">
        <v>883</v>
      </c>
      <c r="E25" s="458"/>
    </row>
    <row r="26" spans="1:5" ht="16.5" customHeight="1">
      <c r="A26" s="10"/>
      <c r="B26" s="132" t="s">
        <v>315</v>
      </c>
      <c r="C26" s="205">
        <f>TIME(13,30,25)</f>
        <v>0.5627893518518519</v>
      </c>
      <c r="D26" s="157" t="s">
        <v>317</v>
      </c>
      <c r="E26" s="157"/>
    </row>
    <row r="27" spans="1:5" ht="16.5" customHeight="1">
      <c r="A27" s="10"/>
      <c r="B27" s="132" t="s">
        <v>315</v>
      </c>
      <c r="C27" s="206">
        <f>TIME(13,30,25)</f>
        <v>0.5627893518518519</v>
      </c>
      <c r="D27" s="157" t="s">
        <v>317</v>
      </c>
      <c r="E27" s="157"/>
    </row>
    <row r="28" spans="1:5" ht="16.5" customHeight="1">
      <c r="A28" s="10"/>
      <c r="B28" s="132" t="s">
        <v>318</v>
      </c>
      <c r="C28" s="204" t="e">
        <f>TIME(-14,9,10)</f>
        <v>#NUM!</v>
      </c>
      <c r="D28" s="157" t="s">
        <v>319</v>
      </c>
      <c r="E28" s="157"/>
    </row>
    <row r="29" spans="1:5" ht="16.5" customHeight="1">
      <c r="A29" s="10"/>
      <c r="B29" s="132" t="s">
        <v>320</v>
      </c>
      <c r="C29" s="205">
        <f>TIME(25,70,70)</f>
        <v>0.09108796296296284</v>
      </c>
      <c r="D29" s="479" t="s">
        <v>321</v>
      </c>
      <c r="E29" s="479"/>
    </row>
    <row r="30" spans="1:5" ht="16.5" customHeight="1">
      <c r="A30" s="10"/>
      <c r="B30" s="17"/>
      <c r="C30" s="209"/>
      <c r="D30" s="11"/>
      <c r="E30" s="11"/>
    </row>
    <row r="31" spans="1:5" ht="16.5" customHeight="1">
      <c r="A31" s="10"/>
      <c r="B31" s="129" t="s">
        <v>891</v>
      </c>
      <c r="C31" s="12"/>
      <c r="D31" s="11"/>
      <c r="E31" s="11"/>
    </row>
    <row r="32" spans="2:5" ht="16.5" customHeight="1">
      <c r="B32" s="511" t="s">
        <v>326</v>
      </c>
      <c r="C32" s="461"/>
      <c r="D32" s="210">
        <f>TIME(10,0,0)+(1/24)</f>
        <v>0.45833333333333337</v>
      </c>
      <c r="E32" s="178" t="s">
        <v>328</v>
      </c>
    </row>
    <row r="33" spans="2:5" ht="16.5" customHeight="1">
      <c r="B33" s="511" t="s">
        <v>327</v>
      </c>
      <c r="C33" s="461"/>
      <c r="D33" s="210">
        <f>TIME(10,0,0)+(1/(24*60))</f>
        <v>0.4173611111111111</v>
      </c>
      <c r="E33" s="178" t="s">
        <v>329</v>
      </c>
    </row>
    <row r="34" spans="2:5" ht="16.5" customHeight="1">
      <c r="B34" s="511" t="s">
        <v>331</v>
      </c>
      <c r="C34" s="461"/>
      <c r="D34" s="210">
        <f>TIME(10,0,0)+(1/(24*60*60))</f>
        <v>0.4166782407407408</v>
      </c>
      <c r="E34" s="178" t="s">
        <v>330</v>
      </c>
    </row>
    <row r="35" ht="16.5" customHeight="1">
      <c r="A35" s="2"/>
    </row>
    <row r="36" ht="14.25" thickBot="1">
      <c r="B36" s="166" t="s">
        <v>332</v>
      </c>
    </row>
    <row r="37" spans="2:4" ht="13.5">
      <c r="B37" s="18" t="s">
        <v>322</v>
      </c>
      <c r="C37" s="19"/>
      <c r="D37" s="20"/>
    </row>
    <row r="38" spans="2:4" ht="13.5">
      <c r="B38" s="21" t="s">
        <v>323</v>
      </c>
      <c r="C38" s="22" t="s">
        <v>324</v>
      </c>
      <c r="D38" s="23" t="s">
        <v>325</v>
      </c>
    </row>
    <row r="39" spans="2:4" ht="13.5">
      <c r="B39" s="24">
        <v>19</v>
      </c>
      <c r="C39" s="25">
        <v>20</v>
      </c>
      <c r="D39" s="26">
        <v>20</v>
      </c>
    </row>
    <row r="40" spans="2:4" ht="13.5">
      <c r="B40" s="24"/>
      <c r="C40" s="25"/>
      <c r="D40" s="26"/>
    </row>
    <row r="41" spans="2:5" ht="14.25" thickBot="1">
      <c r="B41" s="27" t="s">
        <v>163</v>
      </c>
      <c r="C41" s="207">
        <f>TIME(B39,C39,D39)</f>
        <v>0.805787037037037</v>
      </c>
      <c r="D41" s="208">
        <f>TIME(B39,C39,D39)</f>
        <v>0.805787037037037</v>
      </c>
      <c r="E41" s="178" t="s">
        <v>529</v>
      </c>
    </row>
    <row r="42" ht="13.5">
      <c r="B42" s="211"/>
    </row>
    <row r="43" ht="14.25" thickBot="1">
      <c r="B43" s="200" t="s">
        <v>336</v>
      </c>
    </row>
    <row r="44" spans="2:3" ht="14.25" thickBot="1">
      <c r="B44" s="215" t="s">
        <v>333</v>
      </c>
      <c r="C44" s="216">
        <v>0.8055555555555555</v>
      </c>
    </row>
    <row r="45" spans="2:4" ht="13.5">
      <c r="B45" s="217" t="s">
        <v>164</v>
      </c>
      <c r="C45" s="218" t="s">
        <v>335</v>
      </c>
      <c r="D45" s="136"/>
    </row>
    <row r="46" spans="2:3" ht="13.5">
      <c r="B46" s="214"/>
      <c r="C46" s="212"/>
    </row>
    <row r="47" spans="2:3" ht="13.5">
      <c r="B47" s="214"/>
      <c r="C47" s="212"/>
    </row>
    <row r="48" spans="2:3" ht="13.5">
      <c r="B48" s="214"/>
      <c r="C48" s="212"/>
    </row>
    <row r="49" spans="2:3" ht="13.5">
      <c r="B49" s="214"/>
      <c r="C49" s="212"/>
    </row>
    <row r="50" spans="2:3" ht="13.5">
      <c r="B50" s="213"/>
      <c r="C50" s="212"/>
    </row>
    <row r="58" ht="13.5">
      <c r="D58" s="161"/>
    </row>
  </sheetData>
  <mergeCells count="12">
    <mergeCell ref="B32:C32"/>
    <mergeCell ref="B33:C33"/>
    <mergeCell ref="B34:C34"/>
    <mergeCell ref="B15:E18"/>
    <mergeCell ref="B19:E22"/>
    <mergeCell ref="D29:E29"/>
    <mergeCell ref="D25:E25"/>
    <mergeCell ref="B11:E14"/>
    <mergeCell ref="B3:E3"/>
    <mergeCell ref="B4:E5"/>
    <mergeCell ref="B9:E9"/>
    <mergeCell ref="B6:E7"/>
  </mergeCells>
  <hyperlinks>
    <hyperlink ref="A35" location="TIME関数!B1" display="△"/>
  </hyperlink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&amp;L2005/2&amp;C&amp;P/&amp;N</oddFooter>
  </headerFooter>
  <ignoredErrors>
    <ignoredError sqref="C28" evalError="1"/>
  </ignoredErrors>
  <drawing r:id="rId1"/>
</worksheet>
</file>

<file path=xl/worksheets/sheet18.xml><?xml version="1.0" encoding="utf-8"?>
<worksheet xmlns="http://schemas.openxmlformats.org/spreadsheetml/2006/main" xmlns:r="http://schemas.openxmlformats.org/officeDocument/2006/relationships">
  <sheetPr codeName="Sheet9"/>
  <dimension ref="A1:J42"/>
  <sheetViews>
    <sheetView workbookViewId="0" topLeftCell="A1">
      <selection activeCell="B1" sqref="B1"/>
    </sheetView>
  </sheetViews>
  <sheetFormatPr defaultColWidth="9.00390625" defaultRowHeight="13.5"/>
  <cols>
    <col min="2" max="5" width="19.375" style="0" customWidth="1"/>
  </cols>
  <sheetData>
    <row r="1" ht="31.5" customHeight="1">
      <c r="B1" s="1" t="s">
        <v>344</v>
      </c>
    </row>
    <row r="3" spans="1:5" ht="13.5">
      <c r="A3" s="40" t="s">
        <v>652</v>
      </c>
      <c r="B3" s="502" t="s">
        <v>345</v>
      </c>
      <c r="C3" s="503"/>
      <c r="D3" s="503"/>
      <c r="E3" s="503"/>
    </row>
    <row r="4" spans="1:5" ht="13.5">
      <c r="A4" s="41"/>
      <c r="B4" s="516"/>
      <c r="C4" s="455"/>
      <c r="D4" s="455"/>
      <c r="E4" s="455"/>
    </row>
    <row r="5" spans="1:5" ht="13.5">
      <c r="A5" s="41"/>
      <c r="B5" s="516"/>
      <c r="C5" s="455"/>
      <c r="D5" s="455"/>
      <c r="E5" s="455"/>
    </row>
    <row r="6" spans="2:5" ht="13.5">
      <c r="B6" s="4"/>
      <c r="C6" s="4"/>
      <c r="D6" s="4"/>
      <c r="E6" s="4"/>
    </row>
    <row r="7" spans="1:5" ht="13.5">
      <c r="A7" s="42" t="s">
        <v>631</v>
      </c>
      <c r="B7" s="472" t="s">
        <v>346</v>
      </c>
      <c r="C7" s="473"/>
      <c r="D7" s="473"/>
      <c r="E7" s="474"/>
    </row>
    <row r="9" spans="1:5" ht="13.5">
      <c r="A9" s="239" t="s">
        <v>655</v>
      </c>
      <c r="B9" s="517" t="s">
        <v>349</v>
      </c>
      <c r="C9" s="518"/>
      <c r="D9" s="518"/>
      <c r="E9" s="518"/>
    </row>
    <row r="10" spans="1:5" ht="13.5">
      <c r="A10" s="66"/>
      <c r="B10" s="519"/>
      <c r="C10" s="518"/>
      <c r="D10" s="518"/>
      <c r="E10" s="518"/>
    </row>
    <row r="11" spans="1:5" ht="13.5">
      <c r="A11" s="66"/>
      <c r="B11" s="520"/>
      <c r="C11" s="521"/>
      <c r="D11" s="521"/>
      <c r="E11" s="521"/>
    </row>
    <row r="12" spans="1:5" ht="13.5">
      <c r="A12" s="66"/>
      <c r="B12" s="520"/>
      <c r="C12" s="521"/>
      <c r="D12" s="521"/>
      <c r="E12" s="521"/>
    </row>
    <row r="13" spans="1:5" ht="13.5">
      <c r="A13" s="66"/>
      <c r="B13" s="520"/>
      <c r="C13" s="521"/>
      <c r="D13" s="521"/>
      <c r="E13" s="521"/>
    </row>
    <row r="14" spans="1:5" ht="13.5">
      <c r="A14" s="66"/>
      <c r="B14" s="520"/>
      <c r="C14" s="521"/>
      <c r="D14" s="521"/>
      <c r="E14" s="521"/>
    </row>
    <row r="15" spans="1:5" ht="13.5">
      <c r="A15" s="66"/>
      <c r="B15" s="520"/>
      <c r="C15" s="521"/>
      <c r="D15" s="521"/>
      <c r="E15" s="521"/>
    </row>
    <row r="16" spans="1:5" ht="16.5" customHeight="1">
      <c r="A16" s="7"/>
      <c r="B16" s="522" t="s">
        <v>350</v>
      </c>
      <c r="C16" s="518"/>
      <c r="D16" s="518"/>
      <c r="E16" s="518"/>
    </row>
    <row r="17" spans="1:5" ht="16.5" customHeight="1">
      <c r="A17" s="7"/>
      <c r="B17" s="519"/>
      <c r="C17" s="518"/>
      <c r="D17" s="518"/>
      <c r="E17" s="518"/>
    </row>
    <row r="18" spans="1:5" ht="16.5" customHeight="1">
      <c r="A18" s="10"/>
      <c r="B18" s="17"/>
      <c r="C18" s="12"/>
      <c r="D18" s="11"/>
      <c r="E18" s="11"/>
    </row>
    <row r="19" spans="1:5" ht="16.5" customHeight="1">
      <c r="A19" s="10"/>
      <c r="B19" s="130" t="s">
        <v>882</v>
      </c>
      <c r="C19" s="11"/>
      <c r="D19" s="11"/>
      <c r="E19" s="159"/>
    </row>
    <row r="20" spans="1:5" ht="16.5" customHeight="1">
      <c r="A20" s="10"/>
      <c r="B20" s="514" t="s">
        <v>660</v>
      </c>
      <c r="C20" s="515"/>
      <c r="D20" s="150" t="s">
        <v>661</v>
      </c>
      <c r="E20" s="240" t="s">
        <v>353</v>
      </c>
    </row>
    <row r="21" spans="1:10" ht="16.5" customHeight="1">
      <c r="A21" s="10"/>
      <c r="B21" s="429" t="s">
        <v>351</v>
      </c>
      <c r="C21" s="458"/>
      <c r="D21" s="153">
        <f>DATEVALUE("2005/2/14")</f>
        <v>38397</v>
      </c>
      <c r="E21" s="241" t="s">
        <v>871</v>
      </c>
      <c r="J21" s="158"/>
    </row>
    <row r="22" spans="1:5" ht="16.5" customHeight="1">
      <c r="A22" s="10"/>
      <c r="B22" s="429" t="s">
        <v>352</v>
      </c>
      <c r="C22" s="458"/>
      <c r="D22" s="164">
        <f>DATEVALUE("1-Apr-05")</f>
        <v>38443</v>
      </c>
      <c r="E22" s="241" t="s">
        <v>871</v>
      </c>
    </row>
    <row r="23" spans="1:5" ht="16.5" customHeight="1">
      <c r="A23" s="10"/>
      <c r="B23" s="429" t="s">
        <v>356</v>
      </c>
      <c r="C23" s="458"/>
      <c r="D23" s="164">
        <f>DATEVALUE("2/15")</f>
        <v>38398</v>
      </c>
      <c r="E23" s="157" t="s">
        <v>357</v>
      </c>
    </row>
    <row r="24" spans="1:5" ht="16.5" customHeight="1">
      <c r="A24" s="10"/>
      <c r="B24" s="429" t="s">
        <v>355</v>
      </c>
      <c r="C24" s="458"/>
      <c r="D24" s="164" t="e">
        <f>DATEVALUE("1652-7-10")</f>
        <v>#VALUE!</v>
      </c>
      <c r="E24" s="157" t="s">
        <v>354</v>
      </c>
    </row>
    <row r="25" spans="1:5" ht="16.5" customHeight="1">
      <c r="A25" s="10"/>
      <c r="B25" s="429" t="s">
        <v>360</v>
      </c>
      <c r="C25" s="458"/>
      <c r="D25" s="164" t="e">
        <f>DATEVALUE("-1945/8/15")</f>
        <v>#VALUE!</v>
      </c>
      <c r="E25" s="157" t="s">
        <v>354</v>
      </c>
    </row>
    <row r="26" spans="1:5" ht="16.5" customHeight="1">
      <c r="A26" s="10"/>
      <c r="B26" s="17"/>
      <c r="C26" s="12"/>
      <c r="D26" s="11"/>
      <c r="E26" s="11"/>
    </row>
    <row r="27" spans="1:5" ht="16.5" customHeight="1">
      <c r="A27" s="10"/>
      <c r="B27" s="442" t="s">
        <v>358</v>
      </c>
      <c r="C27" s="428"/>
      <c r="D27" s="428"/>
      <c r="E27" s="428"/>
    </row>
    <row r="28" spans="1:5" ht="16.5" customHeight="1">
      <c r="A28" s="10"/>
      <c r="B28" s="514" t="s">
        <v>660</v>
      </c>
      <c r="C28" s="515"/>
      <c r="D28" s="150" t="s">
        <v>661</v>
      </c>
      <c r="E28" s="240" t="s">
        <v>353</v>
      </c>
    </row>
    <row r="29" spans="1:10" ht="16.5" customHeight="1">
      <c r="A29" s="10"/>
      <c r="B29" s="429" t="s">
        <v>351</v>
      </c>
      <c r="C29" s="458"/>
      <c r="D29" s="242">
        <f>DATEVALUE("2005/2/14")</f>
        <v>38397</v>
      </c>
      <c r="E29" s="241" t="s">
        <v>359</v>
      </c>
      <c r="J29" s="158"/>
    </row>
    <row r="30" spans="1:5" ht="16.5" customHeight="1">
      <c r="A30" s="10"/>
      <c r="B30" s="429" t="s">
        <v>352</v>
      </c>
      <c r="C30" s="458"/>
      <c r="D30" s="243">
        <f>DATEVALUE("1-Apr-05")</f>
        <v>38443</v>
      </c>
      <c r="E30" s="241" t="s">
        <v>359</v>
      </c>
    </row>
    <row r="31" spans="2:3" ht="16.5" customHeight="1">
      <c r="B31" s="122"/>
      <c r="C31" s="10"/>
    </row>
    <row r="32" spans="2:3" ht="16.5" customHeight="1">
      <c r="B32" s="166" t="s">
        <v>383</v>
      </c>
      <c r="C32" s="124"/>
    </row>
    <row r="33" spans="2:4" ht="16.5" customHeight="1">
      <c r="B33" s="251" t="s">
        <v>387</v>
      </c>
      <c r="C33" s="244">
        <v>38398</v>
      </c>
      <c r="D33" s="5"/>
    </row>
    <row r="34" spans="2:5" ht="16.5" customHeight="1">
      <c r="B34" s="54" t="s">
        <v>362</v>
      </c>
      <c r="C34" s="245" t="e">
        <f>DATEVALUE(C33)</f>
        <v>#VALUE!</v>
      </c>
      <c r="D34" s="173" t="s">
        <v>361</v>
      </c>
      <c r="E34" s="178"/>
    </row>
    <row r="35" spans="2:3" ht="16.5" customHeight="1">
      <c r="B35" s="10"/>
      <c r="C35" s="10"/>
    </row>
    <row r="36" spans="2:3" ht="16.5" customHeight="1">
      <c r="B36" s="83" t="s">
        <v>384</v>
      </c>
      <c r="C36" s="5"/>
    </row>
    <row r="37" spans="2:5" ht="16.5" customHeight="1">
      <c r="B37" s="252" t="s">
        <v>389</v>
      </c>
      <c r="C37" s="250" t="s">
        <v>385</v>
      </c>
      <c r="D37" s="523" t="s">
        <v>388</v>
      </c>
      <c r="E37" s="524"/>
    </row>
    <row r="38" spans="2:3" ht="16.5" customHeight="1">
      <c r="B38" s="54" t="s">
        <v>386</v>
      </c>
      <c r="C38" s="245">
        <f>DATEVALUE(C37)</f>
        <v>38398</v>
      </c>
    </row>
    <row r="40" spans="1:5" ht="16.5" customHeight="1">
      <c r="A40" s="10"/>
      <c r="B40" s="83" t="s">
        <v>400</v>
      </c>
      <c r="C40" s="12"/>
      <c r="D40" s="11"/>
      <c r="E40" s="11"/>
    </row>
    <row r="41" spans="1:5" ht="16.5" customHeight="1">
      <c r="A41" s="10"/>
      <c r="B41" s="259" t="s">
        <v>403</v>
      </c>
      <c r="C41" s="253" t="str">
        <f ca="1">TEXT(TODAY(),"YY/M/D")</f>
        <v>06/5/16</v>
      </c>
      <c r="D41" s="260" t="s">
        <v>404</v>
      </c>
      <c r="E41" s="257" t="str">
        <f>TEXT($C$41,"YY/M/D")</f>
        <v>06/5/16</v>
      </c>
    </row>
    <row r="42" spans="1:5" ht="16.5" customHeight="1">
      <c r="A42" s="10"/>
      <c r="B42" s="255" t="s">
        <v>405</v>
      </c>
      <c r="C42" s="261">
        <f>DATEVALUE(C41)</f>
        <v>38853</v>
      </c>
      <c r="D42" s="132" t="s">
        <v>162</v>
      </c>
      <c r="E42" s="155">
        <f>DATEVALUE(E41)</f>
        <v>38853</v>
      </c>
    </row>
  </sheetData>
  <mergeCells count="15">
    <mergeCell ref="D37:E37"/>
    <mergeCell ref="B22:C22"/>
    <mergeCell ref="B24:C24"/>
    <mergeCell ref="B23:C23"/>
    <mergeCell ref="B27:E27"/>
    <mergeCell ref="B28:C28"/>
    <mergeCell ref="B29:C29"/>
    <mergeCell ref="B30:C30"/>
    <mergeCell ref="B25:C25"/>
    <mergeCell ref="B20:C20"/>
    <mergeCell ref="B21:C21"/>
    <mergeCell ref="B7:E7"/>
    <mergeCell ref="B3:E5"/>
    <mergeCell ref="B9:E15"/>
    <mergeCell ref="B16:E17"/>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&amp;L2005/2&amp;C&amp;P/&amp;N</oddFooter>
  </headerFooter>
  <ignoredErrors>
    <ignoredError sqref="D22 D30" twoDigitTextYear="1"/>
    <ignoredError sqref="D24:D25 C34" evalError="1"/>
  </ignoredErrors>
  <drawing r:id="rId1"/>
</worksheet>
</file>

<file path=xl/worksheets/sheet19.xml><?xml version="1.0" encoding="utf-8"?>
<worksheet xmlns="http://schemas.openxmlformats.org/spreadsheetml/2006/main" xmlns:r="http://schemas.openxmlformats.org/officeDocument/2006/relationships">
  <sheetPr codeName="Sheet19"/>
  <dimension ref="A1:J52"/>
  <sheetViews>
    <sheetView workbookViewId="0" topLeftCell="A1">
      <selection activeCell="B1" sqref="B1"/>
    </sheetView>
  </sheetViews>
  <sheetFormatPr defaultColWidth="9.00390625" defaultRowHeight="13.5"/>
  <cols>
    <col min="2" max="5" width="19.375" style="0" customWidth="1"/>
    <col min="8" max="8" width="12.125" style="0" bestFit="1" customWidth="1"/>
  </cols>
  <sheetData>
    <row r="1" ht="31.5" customHeight="1">
      <c r="B1" s="1" t="s">
        <v>363</v>
      </c>
    </row>
    <row r="3" spans="1:5" ht="13.5">
      <c r="A3" s="40" t="s">
        <v>652</v>
      </c>
      <c r="B3" s="471" t="s">
        <v>371</v>
      </c>
      <c r="C3" s="510"/>
      <c r="D3" s="510"/>
      <c r="E3" s="510"/>
    </row>
    <row r="4" spans="1:5" ht="13.5">
      <c r="A4" s="41"/>
      <c r="B4" s="525"/>
      <c r="C4" s="458"/>
      <c r="D4" s="458"/>
      <c r="E4" s="458"/>
    </row>
    <row r="5" spans="1:5" ht="13.5">
      <c r="A5" s="41"/>
      <c r="B5" s="525"/>
      <c r="C5" s="458"/>
      <c r="D5" s="458"/>
      <c r="E5" s="458"/>
    </row>
    <row r="6" spans="2:5" ht="13.5">
      <c r="B6" s="4"/>
      <c r="C6" s="4"/>
      <c r="D6" s="4"/>
      <c r="E6" s="4"/>
    </row>
    <row r="7" spans="1:5" ht="13.5">
      <c r="A7" s="42" t="s">
        <v>631</v>
      </c>
      <c r="B7" s="472" t="s">
        <v>372</v>
      </c>
      <c r="C7" s="473"/>
      <c r="D7" s="473"/>
      <c r="E7" s="474"/>
    </row>
    <row r="9" spans="1:5" ht="13.5">
      <c r="A9" s="35" t="s">
        <v>655</v>
      </c>
      <c r="B9" s="526" t="s">
        <v>374</v>
      </c>
      <c r="C9" s="518"/>
      <c r="D9" s="518"/>
      <c r="E9" s="518"/>
    </row>
    <row r="10" spans="1:5" ht="13.5">
      <c r="A10" s="36"/>
      <c r="B10" s="527"/>
      <c r="C10" s="518"/>
      <c r="D10" s="518"/>
      <c r="E10" s="518"/>
    </row>
    <row r="11" spans="1:5" ht="13.5">
      <c r="A11" s="36"/>
      <c r="B11" s="528"/>
      <c r="C11" s="455"/>
      <c r="D11" s="455"/>
      <c r="E11" s="455"/>
    </row>
    <row r="12" spans="1:5" ht="13.5">
      <c r="A12" s="36"/>
      <c r="B12" s="528"/>
      <c r="C12" s="455"/>
      <c r="D12" s="455"/>
      <c r="E12" s="455"/>
    </row>
    <row r="13" spans="1:5" ht="13.5">
      <c r="A13" s="36"/>
      <c r="B13" s="528"/>
      <c r="C13" s="455"/>
      <c r="D13" s="455"/>
      <c r="E13" s="455"/>
    </row>
    <row r="14" spans="1:5" ht="16.5" customHeight="1">
      <c r="A14" s="10"/>
      <c r="B14" s="11"/>
      <c r="C14" s="11"/>
      <c r="D14" s="11"/>
      <c r="E14" s="11"/>
    </row>
    <row r="15" spans="1:5" ht="16.5" customHeight="1">
      <c r="A15" s="10"/>
      <c r="B15" s="130" t="s">
        <v>882</v>
      </c>
      <c r="C15" s="11"/>
      <c r="D15" s="11"/>
      <c r="E15" s="159"/>
    </row>
    <row r="16" spans="1:5" ht="16.5" customHeight="1">
      <c r="A16" s="10"/>
      <c r="B16" s="514" t="s">
        <v>660</v>
      </c>
      <c r="C16" s="515"/>
      <c r="D16" s="150" t="s">
        <v>661</v>
      </c>
      <c r="E16" s="240" t="s">
        <v>353</v>
      </c>
    </row>
    <row r="17" spans="1:10" ht="16.5" customHeight="1">
      <c r="A17" s="10"/>
      <c r="B17" s="429" t="s">
        <v>375</v>
      </c>
      <c r="C17" s="458"/>
      <c r="D17" s="153">
        <f>TIMEVALUE("12:00:00")</f>
        <v>0.5</v>
      </c>
      <c r="E17" s="241" t="s">
        <v>871</v>
      </c>
      <c r="J17" s="158"/>
    </row>
    <row r="18" spans="1:5" ht="16.5" customHeight="1">
      <c r="A18" s="10"/>
      <c r="B18" s="429" t="s">
        <v>376</v>
      </c>
      <c r="C18" s="458"/>
      <c r="D18" s="153">
        <f>TIMEVALUE("2005/2/14 12:00:00")</f>
        <v>0.5</v>
      </c>
      <c r="E18" s="241" t="s">
        <v>871</v>
      </c>
    </row>
    <row r="19" spans="1:5" ht="16.5" customHeight="1">
      <c r="A19" s="10"/>
      <c r="B19" s="429" t="s">
        <v>377</v>
      </c>
      <c r="C19" s="458"/>
      <c r="D19" s="164">
        <f>TIMEVALUE("7:30 AM")</f>
        <v>0.3125</v>
      </c>
      <c r="E19" s="241" t="s">
        <v>871</v>
      </c>
    </row>
    <row r="20" spans="1:5" ht="16.5" customHeight="1">
      <c r="A20" s="10"/>
      <c r="B20" s="429" t="s">
        <v>380</v>
      </c>
      <c r="C20" s="458"/>
      <c r="D20" s="164">
        <f>TIMEVALUE("9999:59:59")</f>
        <v>0.6666550925926344</v>
      </c>
      <c r="E20" s="241" t="s">
        <v>381</v>
      </c>
    </row>
    <row r="21" spans="1:8" ht="16.5" customHeight="1">
      <c r="A21" s="10"/>
      <c r="B21" s="429" t="s">
        <v>379</v>
      </c>
      <c r="C21" s="458"/>
      <c r="D21" s="164" t="e">
        <f>TIMEVALUE("10000:00:00")</f>
        <v>#VALUE!</v>
      </c>
      <c r="E21" s="157" t="s">
        <v>354</v>
      </c>
      <c r="H21" s="246"/>
    </row>
    <row r="22" spans="1:5" ht="16.5" customHeight="1">
      <c r="A22" s="10"/>
      <c r="B22" s="429" t="s">
        <v>378</v>
      </c>
      <c r="C22" s="458"/>
      <c r="D22" s="164" t="e">
        <f>TIMEVALUE("-6:00:00")</f>
        <v>#VALUE!</v>
      </c>
      <c r="E22" s="157" t="s">
        <v>354</v>
      </c>
    </row>
    <row r="23" spans="1:5" ht="16.5" customHeight="1">
      <c r="A23" s="10"/>
      <c r="B23" s="17"/>
      <c r="C23" s="12"/>
      <c r="D23" s="11"/>
      <c r="E23" s="11"/>
    </row>
    <row r="24" spans="1:5" ht="16.5" customHeight="1">
      <c r="A24" s="10"/>
      <c r="B24" s="442" t="s">
        <v>358</v>
      </c>
      <c r="C24" s="428"/>
      <c r="D24" s="428"/>
      <c r="E24" s="428"/>
    </row>
    <row r="25" spans="1:5" ht="16.5" customHeight="1">
      <c r="A25" s="10"/>
      <c r="B25" s="514" t="s">
        <v>660</v>
      </c>
      <c r="C25" s="515"/>
      <c r="D25" s="150" t="s">
        <v>661</v>
      </c>
      <c r="E25" s="240" t="s">
        <v>353</v>
      </c>
    </row>
    <row r="26" spans="1:10" ht="16.5" customHeight="1">
      <c r="A26" s="10"/>
      <c r="B26" s="429" t="s">
        <v>375</v>
      </c>
      <c r="C26" s="458"/>
      <c r="D26" s="247">
        <f>TIMEVALUE("12:00:00")</f>
        <v>0.5</v>
      </c>
      <c r="E26" s="241" t="s">
        <v>359</v>
      </c>
      <c r="J26" s="158"/>
    </row>
    <row r="27" spans="1:5" ht="16.5" customHeight="1">
      <c r="A27" s="10"/>
      <c r="B27" s="429" t="s">
        <v>375</v>
      </c>
      <c r="C27" s="458"/>
      <c r="D27" s="248">
        <f>TIMEVALUE("12:00:00")</f>
        <v>0.5</v>
      </c>
      <c r="E27" s="241" t="s">
        <v>359</v>
      </c>
    </row>
    <row r="28" spans="1:5" ht="16.5" customHeight="1">
      <c r="A28" s="10"/>
      <c r="B28" s="529" t="s">
        <v>382</v>
      </c>
      <c r="C28" s="458"/>
      <c r="D28" s="458"/>
      <c r="E28" s="458"/>
    </row>
    <row r="29" spans="2:3" ht="16.5" customHeight="1">
      <c r="B29" s="122"/>
      <c r="C29" s="10"/>
    </row>
    <row r="30" spans="2:3" ht="16.5" customHeight="1">
      <c r="B30" s="166" t="s">
        <v>394</v>
      </c>
      <c r="C30" s="124"/>
    </row>
    <row r="31" spans="2:4" ht="16.5" customHeight="1">
      <c r="B31" s="251" t="s">
        <v>390</v>
      </c>
      <c r="C31" s="249">
        <v>0.4796875</v>
      </c>
      <c r="D31" s="5"/>
    </row>
    <row r="32" spans="2:5" ht="16.5" customHeight="1">
      <c r="B32" s="54" t="s">
        <v>158</v>
      </c>
      <c r="C32" s="245" t="e">
        <f>TIMEVALUE(C31)</f>
        <v>#VALUE!</v>
      </c>
      <c r="D32" s="173" t="s">
        <v>361</v>
      </c>
      <c r="E32" s="178"/>
    </row>
    <row r="33" spans="2:5" ht="16.5" customHeight="1">
      <c r="B33" s="123"/>
      <c r="C33" s="160"/>
      <c r="D33" s="160"/>
      <c r="E33" s="10"/>
    </row>
    <row r="34" spans="2:3" ht="16.5" customHeight="1">
      <c r="B34" s="83" t="s">
        <v>391</v>
      </c>
      <c r="C34" s="5"/>
    </row>
    <row r="35" spans="2:5" ht="16.5" customHeight="1">
      <c r="B35" s="252" t="s">
        <v>393</v>
      </c>
      <c r="C35" s="250" t="s">
        <v>392</v>
      </c>
      <c r="D35" s="523" t="s">
        <v>388</v>
      </c>
      <c r="E35" s="524"/>
    </row>
    <row r="36" spans="2:3" ht="16.5" customHeight="1">
      <c r="B36" s="54" t="s">
        <v>159</v>
      </c>
      <c r="C36" s="245">
        <f>TIMEVALUE(C35)</f>
        <v>0.4796875</v>
      </c>
    </row>
    <row r="37" spans="1:5" ht="16.5" customHeight="1">
      <c r="A37" s="10"/>
      <c r="B37" s="121"/>
      <c r="C37" s="11"/>
      <c r="D37" s="11"/>
      <c r="E37" s="11"/>
    </row>
    <row r="38" spans="1:5" ht="16.5" customHeight="1">
      <c r="A38" s="10"/>
      <c r="B38" s="258" t="s">
        <v>395</v>
      </c>
      <c r="C38" s="14"/>
      <c r="D38" s="11"/>
      <c r="E38" s="11"/>
    </row>
    <row r="39" spans="1:5" ht="16.5" customHeight="1">
      <c r="A39" s="10"/>
      <c r="B39" s="254" t="s">
        <v>396</v>
      </c>
      <c r="C39" s="253">
        <f ca="1">NOW()</f>
        <v>38853.95200636574</v>
      </c>
      <c r="D39" s="256" t="s">
        <v>399</v>
      </c>
      <c r="E39" s="257">
        <f>$C$39</f>
        <v>38853.95200636574</v>
      </c>
    </row>
    <row r="40" spans="1:5" ht="16.5" customHeight="1">
      <c r="A40" s="10"/>
      <c r="B40" s="255" t="s">
        <v>397</v>
      </c>
      <c r="C40" s="150" t="e">
        <f>TIMEVALUE(C39)</f>
        <v>#VALUE!</v>
      </c>
      <c r="D40" s="132" t="s">
        <v>398</v>
      </c>
      <c r="E40" s="155" t="e">
        <f>TIMEVALUE(E39)</f>
        <v>#VALUE!</v>
      </c>
    </row>
    <row r="41" spans="1:5" ht="16.5" customHeight="1">
      <c r="A41" s="10"/>
      <c r="B41" s="17"/>
      <c r="C41" s="17"/>
      <c r="D41" s="17"/>
      <c r="E41" s="11"/>
    </row>
    <row r="42" spans="1:5" ht="16.5" customHeight="1">
      <c r="A42" s="10"/>
      <c r="B42" s="83" t="s">
        <v>400</v>
      </c>
      <c r="C42" s="12"/>
      <c r="D42" s="11"/>
      <c r="E42" s="11"/>
    </row>
    <row r="43" spans="1:5" ht="16.5" customHeight="1">
      <c r="A43" s="10"/>
      <c r="B43" s="259" t="s">
        <v>401</v>
      </c>
      <c r="C43" s="253" t="str">
        <f ca="1">TEXT(NOW(),"h:mm:ss")</f>
        <v>22:50:53</v>
      </c>
      <c r="D43" s="262" t="s">
        <v>402</v>
      </c>
      <c r="E43" s="257" t="str">
        <f>TEXT($C$39,"h:mm:ss")</f>
        <v>22:50:53</v>
      </c>
    </row>
    <row r="44" spans="1:5" ht="16.5" customHeight="1">
      <c r="A44" s="10"/>
      <c r="B44" s="263" t="s">
        <v>161</v>
      </c>
      <c r="C44" s="261">
        <f>TIMEVALUE(C43)</f>
        <v>0.9520023148148148</v>
      </c>
      <c r="D44" s="132" t="s">
        <v>160</v>
      </c>
      <c r="E44" s="155">
        <f>TIMEVALUE(E43)</f>
        <v>0.9520023148148148</v>
      </c>
    </row>
    <row r="45" spans="2:3" ht="16.5" customHeight="1">
      <c r="B45" s="122"/>
      <c r="C45" s="10"/>
    </row>
    <row r="46" spans="2:3" ht="16.5" customHeight="1">
      <c r="B46" s="123"/>
      <c r="C46" s="124"/>
    </row>
    <row r="47" spans="2:3" ht="16.5" customHeight="1">
      <c r="B47" s="17"/>
      <c r="C47" s="124"/>
    </row>
    <row r="48" spans="2:3" ht="16.5" customHeight="1">
      <c r="B48" s="10"/>
      <c r="C48" s="10"/>
    </row>
    <row r="49" spans="2:3" ht="16.5" customHeight="1">
      <c r="B49" s="10"/>
      <c r="C49" s="10"/>
    </row>
    <row r="50" spans="2:3" ht="16.5" customHeight="1">
      <c r="B50" s="16"/>
      <c r="C50" s="5"/>
    </row>
    <row r="51" spans="2:3" ht="16.5" customHeight="1">
      <c r="B51" s="16"/>
      <c r="C51" s="5"/>
    </row>
    <row r="52" spans="2:3" ht="16.5" customHeight="1">
      <c r="B52" s="16"/>
      <c r="C52" s="5"/>
    </row>
  </sheetData>
  <mergeCells count="16">
    <mergeCell ref="B20:C20"/>
    <mergeCell ref="B28:E28"/>
    <mergeCell ref="B21:C21"/>
    <mergeCell ref="B22:C22"/>
    <mergeCell ref="B24:E24"/>
    <mergeCell ref="B25:C25"/>
    <mergeCell ref="B7:E7"/>
    <mergeCell ref="B3:E5"/>
    <mergeCell ref="B9:E13"/>
    <mergeCell ref="D35:E35"/>
    <mergeCell ref="B16:C16"/>
    <mergeCell ref="B17:C17"/>
    <mergeCell ref="B18:C18"/>
    <mergeCell ref="B19:C19"/>
    <mergeCell ref="B26:C26"/>
    <mergeCell ref="B27:C27"/>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&amp;L2005/2&amp;C&amp;P/&amp;N</oddFooter>
  </headerFooter>
  <drawing r:id="rId1"/>
</worksheet>
</file>

<file path=xl/worksheets/sheet2.xml><?xml version="1.0" encoding="utf-8"?>
<worksheet xmlns="http://schemas.openxmlformats.org/spreadsheetml/2006/main" xmlns:r="http://schemas.openxmlformats.org/officeDocument/2006/relationships">
  <dimension ref="A1:E129"/>
  <sheetViews>
    <sheetView workbookViewId="0" topLeftCell="A1">
      <selection activeCell="C36" sqref="C36"/>
    </sheetView>
  </sheetViews>
  <sheetFormatPr defaultColWidth="9.00390625" defaultRowHeight="13.5"/>
  <cols>
    <col min="2" max="3" width="19.375" style="0" customWidth="1"/>
    <col min="4" max="4" width="24.875" style="0" bestFit="1" customWidth="1"/>
    <col min="5" max="5" width="19.375" style="0" customWidth="1"/>
  </cols>
  <sheetData>
    <row r="1" ht="31.5" customHeight="1">
      <c r="B1" s="1" t="s">
        <v>342</v>
      </c>
    </row>
    <row r="3" ht="13.5">
      <c r="B3" s="83" t="s">
        <v>739</v>
      </c>
    </row>
    <row r="4" ht="13.5">
      <c r="B4" t="s">
        <v>745</v>
      </c>
    </row>
    <row r="5" ht="13.5">
      <c r="B5" t="s">
        <v>743</v>
      </c>
    </row>
    <row r="7" spans="2:5" ht="13.5">
      <c r="B7" s="327" t="s">
        <v>740</v>
      </c>
      <c r="C7" s="327" t="s">
        <v>741</v>
      </c>
      <c r="D7" s="377" t="s">
        <v>742</v>
      </c>
      <c r="E7" s="376" t="s">
        <v>660</v>
      </c>
    </row>
    <row r="8" spans="2:5" ht="13.5">
      <c r="B8" s="379">
        <v>0.3541666666666667</v>
      </c>
      <c r="C8" s="379">
        <v>0.8055555555555555</v>
      </c>
      <c r="D8" s="378">
        <f>C8-B8</f>
        <v>0.4513888888888888</v>
      </c>
      <c r="E8" s="110" t="s">
        <v>786</v>
      </c>
    </row>
    <row r="9" spans="2:5" ht="13.5">
      <c r="B9" s="383"/>
      <c r="C9" s="383"/>
      <c r="D9" s="383"/>
      <c r="E9" s="384"/>
    </row>
    <row r="10" spans="2:5" ht="13.5">
      <c r="B10" s="454" t="s">
        <v>744</v>
      </c>
      <c r="C10" s="455"/>
      <c r="D10" s="455"/>
      <c r="E10" s="455"/>
    </row>
    <row r="11" spans="2:5" ht="13.5">
      <c r="B11" s="455"/>
      <c r="C11" s="455"/>
      <c r="D11" s="455"/>
      <c r="E11" s="455"/>
    </row>
    <row r="12" spans="2:5" ht="13.5">
      <c r="B12" s="375"/>
      <c r="C12" s="375"/>
      <c r="D12" s="385">
        <f>B8-C8</f>
        <v>-0.4513888888888888</v>
      </c>
      <c r="E12" s="54" t="s">
        <v>787</v>
      </c>
    </row>
    <row r="13" spans="2:5" ht="13.5">
      <c r="B13" s="375" t="s">
        <v>746</v>
      </c>
      <c r="C13" s="375"/>
      <c r="D13" s="375"/>
      <c r="E13" s="16"/>
    </row>
    <row r="14" spans="2:5" ht="13.5">
      <c r="B14" s="375" t="s">
        <v>747</v>
      </c>
      <c r="C14" s="375"/>
      <c r="D14" s="375"/>
      <c r="E14" s="16"/>
    </row>
    <row r="15" spans="2:5" ht="13.5">
      <c r="B15" s="327" t="s">
        <v>740</v>
      </c>
      <c r="C15" s="327" t="s">
        <v>741</v>
      </c>
      <c r="D15" s="377" t="s">
        <v>742</v>
      </c>
      <c r="E15" s="376" t="s">
        <v>660</v>
      </c>
    </row>
    <row r="16" spans="2:5" ht="13.5">
      <c r="B16" s="379">
        <v>0.3541666666666667</v>
      </c>
      <c r="C16" s="386">
        <v>1.0729166666666667</v>
      </c>
      <c r="D16" s="378">
        <f>C16-B16</f>
        <v>0.71875</v>
      </c>
      <c r="E16" s="110" t="s">
        <v>788</v>
      </c>
    </row>
    <row r="17" spans="2:5" ht="13.5">
      <c r="B17" s="456" t="s">
        <v>748</v>
      </c>
      <c r="C17" s="457"/>
      <c r="D17" s="457"/>
      <c r="E17" s="457"/>
    </row>
    <row r="18" spans="2:5" ht="13.5">
      <c r="B18" s="458"/>
      <c r="C18" s="458"/>
      <c r="D18" s="458"/>
      <c r="E18" s="458"/>
    </row>
    <row r="19" spans="2:5" ht="13.5">
      <c r="B19" s="383"/>
      <c r="C19" s="383"/>
      <c r="D19" s="383"/>
      <c r="E19" s="384"/>
    </row>
    <row r="20" spans="2:5" ht="13.5">
      <c r="B20" s="388" t="s">
        <v>751</v>
      </c>
      <c r="C20" s="383"/>
      <c r="D20" s="383"/>
      <c r="E20" s="384"/>
    </row>
    <row r="21" spans="2:5" ht="13.5">
      <c r="B21" t="s">
        <v>745</v>
      </c>
      <c r="C21" s="383"/>
      <c r="D21" s="383"/>
      <c r="E21" s="384"/>
    </row>
    <row r="22" spans="2:5" ht="13.5">
      <c r="B22" s="327" t="s">
        <v>749</v>
      </c>
      <c r="C22" s="327" t="s">
        <v>750</v>
      </c>
      <c r="D22" s="377" t="s">
        <v>742</v>
      </c>
      <c r="E22" s="376" t="s">
        <v>660</v>
      </c>
    </row>
    <row r="23" spans="2:5" ht="13.5">
      <c r="B23" s="389">
        <v>38397.354166666664</v>
      </c>
      <c r="C23" s="389">
        <v>38397.805555555555</v>
      </c>
      <c r="D23" s="393">
        <f>C23-B23</f>
        <v>0.45138888889050577</v>
      </c>
      <c r="E23" s="110" t="s">
        <v>789</v>
      </c>
    </row>
    <row r="24" spans="2:5" ht="13.5">
      <c r="B24" s="459" t="s">
        <v>752</v>
      </c>
      <c r="C24" s="459"/>
      <c r="D24" s="392">
        <f>C23-B23</f>
        <v>0.45138888889050577</v>
      </c>
      <c r="E24" s="382"/>
    </row>
    <row r="25" spans="2:5" ht="13.5">
      <c r="B25" s="383"/>
      <c r="C25" s="383"/>
      <c r="D25" s="383"/>
      <c r="E25" s="384"/>
    </row>
    <row r="26" spans="2:5" ht="13.5">
      <c r="B26" s="375" t="s">
        <v>746</v>
      </c>
      <c r="C26" s="383"/>
      <c r="D26" s="383"/>
      <c r="E26" s="384"/>
    </row>
    <row r="27" spans="2:5" ht="13.5">
      <c r="B27" s="327" t="s">
        <v>749</v>
      </c>
      <c r="C27" s="327" t="s">
        <v>750</v>
      </c>
      <c r="D27" s="377" t="s">
        <v>742</v>
      </c>
      <c r="E27" s="376" t="s">
        <v>660</v>
      </c>
    </row>
    <row r="28" spans="2:5" ht="13.5">
      <c r="B28" s="387">
        <v>38397.354166666664</v>
      </c>
      <c r="C28" s="387">
        <v>38398.072916666664</v>
      </c>
      <c r="D28" s="378">
        <f>C28-B28</f>
        <v>0.71875</v>
      </c>
      <c r="E28" s="110" t="s">
        <v>790</v>
      </c>
    </row>
    <row r="29" spans="2:5" ht="13.5">
      <c r="B29" s="383"/>
      <c r="C29" s="383"/>
      <c r="D29" s="383"/>
      <c r="E29" s="384"/>
    </row>
    <row r="30" spans="2:5" ht="13.5">
      <c r="B30" s="388" t="s">
        <v>753</v>
      </c>
      <c r="C30" s="383"/>
      <c r="D30" s="383"/>
      <c r="E30" s="384"/>
    </row>
    <row r="31" spans="2:5" ht="13.5">
      <c r="B31" s="327" t="s">
        <v>749</v>
      </c>
      <c r="C31" s="327" t="s">
        <v>754</v>
      </c>
      <c r="D31" s="377" t="s">
        <v>741</v>
      </c>
      <c r="E31" s="376" t="s">
        <v>660</v>
      </c>
    </row>
    <row r="32" spans="2:5" ht="13.5">
      <c r="B32" s="379">
        <v>0.3541666666666667</v>
      </c>
      <c r="C32" s="394">
        <v>0.1076388888888889</v>
      </c>
      <c r="D32" s="378">
        <f>B32+C32</f>
        <v>0.4618055555555556</v>
      </c>
      <c r="E32" s="110" t="s">
        <v>791</v>
      </c>
    </row>
    <row r="33" spans="2:5" ht="13.5">
      <c r="B33" s="383"/>
      <c r="C33" s="383"/>
      <c r="D33" s="383"/>
      <c r="E33" s="384"/>
    </row>
    <row r="34" spans="2:5" ht="13.5">
      <c r="B34" s="388" t="s">
        <v>755</v>
      </c>
      <c r="C34" s="383"/>
      <c r="D34" s="383"/>
      <c r="E34" s="384"/>
    </row>
    <row r="35" spans="2:5" ht="13.5">
      <c r="B35" s="327" t="s">
        <v>749</v>
      </c>
      <c r="C35" s="327" t="s">
        <v>756</v>
      </c>
      <c r="D35" s="377" t="s">
        <v>741</v>
      </c>
      <c r="E35" s="376" t="s">
        <v>660</v>
      </c>
    </row>
    <row r="36" spans="2:5" ht="13.5">
      <c r="B36" s="379">
        <v>0.3541666666666667</v>
      </c>
      <c r="C36" s="394">
        <v>0.2916666666666667</v>
      </c>
      <c r="D36" s="378">
        <f>B36-C36</f>
        <v>0.0625</v>
      </c>
      <c r="E36" s="110" t="s">
        <v>792</v>
      </c>
    </row>
    <row r="37" spans="2:5" ht="13.5">
      <c r="B37" s="383"/>
      <c r="C37" s="383"/>
      <c r="D37" s="383"/>
      <c r="E37" s="384"/>
    </row>
    <row r="38" spans="2:5" ht="13.5">
      <c r="B38" s="383" t="s">
        <v>757</v>
      </c>
      <c r="C38" s="383"/>
      <c r="D38" s="383"/>
      <c r="E38" s="384"/>
    </row>
    <row r="39" spans="2:5" ht="13.5">
      <c r="B39" s="327" t="s">
        <v>749</v>
      </c>
      <c r="C39" s="327" t="s">
        <v>756</v>
      </c>
      <c r="D39" s="377" t="s">
        <v>741</v>
      </c>
      <c r="E39" s="376" t="s">
        <v>660</v>
      </c>
    </row>
    <row r="40" spans="2:5" ht="13.5">
      <c r="B40" s="379">
        <v>0.3541666666666667</v>
      </c>
      <c r="C40" s="394">
        <v>0.4166666666666667</v>
      </c>
      <c r="D40" s="378">
        <f>B40-C40</f>
        <v>-0.0625</v>
      </c>
      <c r="E40" s="110" t="s">
        <v>759</v>
      </c>
    </row>
    <row r="41" spans="2:5" ht="13.5">
      <c r="B41" s="383" t="s">
        <v>758</v>
      </c>
      <c r="C41" s="383"/>
      <c r="D41" s="383"/>
      <c r="E41" s="384"/>
    </row>
    <row r="42" spans="3:5" ht="13.5">
      <c r="C42" s="383"/>
      <c r="D42" s="381">
        <f>C40-B40</f>
        <v>0.0625</v>
      </c>
      <c r="E42" s="382" t="s">
        <v>793</v>
      </c>
    </row>
    <row r="43" spans="2:5" ht="13.5">
      <c r="B43" s="383"/>
      <c r="C43" s="383"/>
      <c r="D43" s="383"/>
      <c r="E43" s="384"/>
    </row>
    <row r="44" spans="2:5" ht="13.5">
      <c r="B44" s="388" t="s">
        <v>761</v>
      </c>
      <c r="C44" s="383"/>
      <c r="D44" s="383"/>
      <c r="E44" s="384"/>
    </row>
    <row r="45" spans="2:5" ht="13.5">
      <c r="B45" s="383" t="s">
        <v>762</v>
      </c>
      <c r="C45" s="383"/>
      <c r="D45" s="383"/>
      <c r="E45" s="384"/>
    </row>
    <row r="46" spans="2:5" ht="13.5">
      <c r="B46" s="396" t="s">
        <v>660</v>
      </c>
      <c r="C46" s="395" t="s">
        <v>661</v>
      </c>
      <c r="D46" s="383"/>
      <c r="E46" s="384"/>
    </row>
    <row r="47" spans="2:5" ht="13.5">
      <c r="B47" s="397" t="s">
        <v>763</v>
      </c>
      <c r="C47" s="383" t="e">
        <f>18:28-7:28</f>
        <v>#VALUE!</v>
      </c>
      <c r="D47" s="462" t="s">
        <v>764</v>
      </c>
      <c r="E47" s="462"/>
    </row>
    <row r="48" spans="2:5" ht="13.5">
      <c r="B48" s="383" t="s">
        <v>769</v>
      </c>
      <c r="C48" s="383"/>
      <c r="D48" s="383"/>
      <c r="E48" s="384"/>
    </row>
    <row r="49" spans="2:5" ht="13.5">
      <c r="B49" s="460" t="s">
        <v>766</v>
      </c>
      <c r="C49" s="461"/>
      <c r="D49" s="461"/>
      <c r="E49" s="461"/>
    </row>
    <row r="50" spans="2:5" ht="13.5">
      <c r="B50" s="383"/>
      <c r="C50" s="383"/>
      <c r="D50" s="381" t="str">
        <f>HOUR("19:30")-HOUR("8:30")&amp;":"&amp;MINUTE("19:30")-MINUTE("8:30")</f>
        <v>11:0</v>
      </c>
      <c r="E50" s="384"/>
    </row>
    <row r="51" spans="2:5" ht="13.5">
      <c r="B51" s="383"/>
      <c r="C51" s="383"/>
      <c r="D51" s="383"/>
      <c r="E51" s="384"/>
    </row>
    <row r="52" spans="2:5" ht="13.5">
      <c r="B52" s="383" t="s">
        <v>767</v>
      </c>
      <c r="C52" s="383"/>
      <c r="D52" s="383"/>
      <c r="E52" s="384"/>
    </row>
    <row r="53" spans="2:5" ht="13.5">
      <c r="B53" s="397" t="s">
        <v>768</v>
      </c>
      <c r="C53" s="398"/>
      <c r="D53" s="381" t="str">
        <f>TEXT("19:30"-"8:30","h:mm")</f>
        <v>11:00</v>
      </c>
      <c r="E53" s="384"/>
    </row>
    <row r="54" spans="2:5" ht="13.5">
      <c r="B54" s="383"/>
      <c r="C54" s="383"/>
      <c r="D54" s="383"/>
      <c r="E54" s="384"/>
    </row>
    <row r="55" spans="2:5" ht="13.5">
      <c r="B55" s="388" t="s">
        <v>799</v>
      </c>
      <c r="C55" s="383"/>
      <c r="D55" s="383"/>
      <c r="E55" s="384"/>
    </row>
    <row r="56" spans="2:5" ht="13.5">
      <c r="B56" s="406" t="s">
        <v>794</v>
      </c>
      <c r="C56" s="406" t="s">
        <v>796</v>
      </c>
      <c r="D56" s="408" t="s">
        <v>795</v>
      </c>
      <c r="E56" s="384"/>
    </row>
    <row r="57" spans="2:5" ht="13.5">
      <c r="B57" s="380">
        <v>0.78125</v>
      </c>
      <c r="C57" s="407">
        <f ca="1">NOW()</f>
        <v>38853.95200636574</v>
      </c>
      <c r="D57" s="392">
        <f>B57-TEXT(C57,"h:mm")</f>
        <v>-0.17013888888888884</v>
      </c>
      <c r="E57" s="384"/>
    </row>
    <row r="58" spans="2:5" ht="13.5">
      <c r="B58" s="383"/>
      <c r="C58" s="396" t="s">
        <v>660</v>
      </c>
      <c r="D58" s="397" t="s">
        <v>797</v>
      </c>
      <c r="E58" s="382"/>
    </row>
    <row r="59" spans="2:5" ht="13.5">
      <c r="B59" s="383" t="s">
        <v>806</v>
      </c>
      <c r="C59" s="383"/>
      <c r="D59" s="383"/>
      <c r="E59" s="384"/>
    </row>
    <row r="60" spans="2:5" ht="13.5">
      <c r="B60" s="388" t="s">
        <v>798</v>
      </c>
      <c r="C60" s="383"/>
      <c r="D60" s="383"/>
      <c r="E60" s="384"/>
    </row>
    <row r="61" spans="2:5" ht="13.5">
      <c r="B61" s="406" t="s">
        <v>794</v>
      </c>
      <c r="C61" s="406" t="s">
        <v>796</v>
      </c>
      <c r="D61" s="408" t="s">
        <v>795</v>
      </c>
      <c r="E61" s="384"/>
    </row>
    <row r="62" spans="2:5" ht="13.5">
      <c r="B62" s="409">
        <v>38401.78125</v>
      </c>
      <c r="C62" s="391">
        <f ca="1">NOW()</f>
        <v>38853.95200636574</v>
      </c>
      <c r="D62" s="410" t="e">
        <f>TEXT(B62-C62,"[h]:mm")</f>
        <v>#VALUE!</v>
      </c>
      <c r="E62" s="384"/>
    </row>
    <row r="63" spans="2:5" ht="13.5">
      <c r="B63" s="383"/>
      <c r="C63" s="395" t="s">
        <v>660</v>
      </c>
      <c r="D63" s="397" t="s">
        <v>805</v>
      </c>
      <c r="E63" s="382"/>
    </row>
    <row r="64" ht="13.5">
      <c r="D64" s="427"/>
    </row>
    <row r="65" ht="13.5">
      <c r="B65" s="83" t="s">
        <v>774</v>
      </c>
    </row>
    <row r="66" ht="13.5">
      <c r="B66" s="83"/>
    </row>
    <row r="67" spans="2:4" ht="13.5">
      <c r="B67" s="220" t="s">
        <v>337</v>
      </c>
      <c r="C67" s="377" t="s">
        <v>775</v>
      </c>
      <c r="D67" s="376" t="s">
        <v>660</v>
      </c>
    </row>
    <row r="68" spans="2:4" ht="13.5">
      <c r="B68" s="219">
        <v>0.06597222222222222</v>
      </c>
      <c r="C68" s="403">
        <v>0.06597222222222222</v>
      </c>
      <c r="D68" s="404"/>
    </row>
    <row r="69" spans="2:4" ht="13.5">
      <c r="B69" s="219">
        <v>0.3541666666666667</v>
      </c>
      <c r="C69" s="390">
        <f>SUM(B68:B69)</f>
        <v>0.4201388888888889</v>
      </c>
      <c r="D69" s="110" t="s">
        <v>800</v>
      </c>
    </row>
    <row r="70" spans="2:4" ht="13.5">
      <c r="B70" s="219">
        <v>0.1388888888888889</v>
      </c>
      <c r="C70" s="390">
        <f>SUM(B68:B70)</f>
        <v>0.5590277777777778</v>
      </c>
      <c r="D70" s="110" t="s">
        <v>801</v>
      </c>
    </row>
    <row r="71" spans="2:4" ht="13.5">
      <c r="B71" s="219">
        <v>0.17708333333333334</v>
      </c>
      <c r="C71" s="390">
        <f>SUM(B68:B71)</f>
        <v>0.7361111111111112</v>
      </c>
      <c r="D71" s="110" t="s">
        <v>802</v>
      </c>
    </row>
    <row r="72" spans="2:4" ht="13.5">
      <c r="B72" s="219">
        <v>0.3333333333333333</v>
      </c>
      <c r="C72" s="390">
        <f>SUM(B68:B72)</f>
        <v>1.0694444444444444</v>
      </c>
      <c r="D72" s="110" t="s">
        <v>803</v>
      </c>
    </row>
    <row r="73" ht="13.5">
      <c r="C73" s="161"/>
    </row>
    <row r="74" spans="2:3" ht="13.5">
      <c r="B74" s="375" t="s">
        <v>804</v>
      </c>
      <c r="C74" s="221"/>
    </row>
    <row r="75" spans="2:3" ht="13.5">
      <c r="B75" s="375"/>
      <c r="C75" s="221"/>
    </row>
    <row r="76" spans="2:3" ht="13.5">
      <c r="B76" s="375" t="s">
        <v>778</v>
      </c>
      <c r="C76" s="399"/>
    </row>
    <row r="77" ht="13.5">
      <c r="B77" s="236" t="s">
        <v>776</v>
      </c>
    </row>
    <row r="78" ht="13.5">
      <c r="E78" s="15" t="s">
        <v>777</v>
      </c>
    </row>
    <row r="79" spans="4:5" ht="13.5">
      <c r="D79" s="390">
        <f>SUM(B68:B72)</f>
        <v>1.0694444444444444</v>
      </c>
      <c r="E79" t="s">
        <v>779</v>
      </c>
    </row>
    <row r="81" spans="4:5" ht="13.5">
      <c r="D81" s="405">
        <f>SUM(B68:B72)</f>
        <v>1.0694444444444444</v>
      </c>
      <c r="E81" t="s">
        <v>780</v>
      </c>
    </row>
    <row r="91" ht="13.5">
      <c r="C91" s="10"/>
    </row>
    <row r="98" ht="13.5">
      <c r="B98" s="83" t="s">
        <v>781</v>
      </c>
    </row>
    <row r="100" spans="2:5" ht="13.5">
      <c r="B100" s="327" t="s">
        <v>838</v>
      </c>
      <c r="C100" s="327" t="s">
        <v>782</v>
      </c>
      <c r="D100" s="327" t="s">
        <v>783</v>
      </c>
      <c r="E100" s="377" t="s">
        <v>784</v>
      </c>
    </row>
    <row r="101" spans="2:5" ht="13.5">
      <c r="B101" s="411">
        <v>38412</v>
      </c>
      <c r="C101" s="379">
        <v>0.3527777777777778</v>
      </c>
      <c r="D101" s="379">
        <v>0.7104166666666667</v>
      </c>
      <c r="E101" s="378">
        <f>D101-C101-(1/24)</f>
        <v>0.3159722222222222</v>
      </c>
    </row>
    <row r="102" spans="2:5" ht="13.5">
      <c r="B102" s="411">
        <v>38413</v>
      </c>
      <c r="C102" s="379">
        <v>0.3958333333333333</v>
      </c>
      <c r="D102" s="379">
        <v>0.6513888888888889</v>
      </c>
      <c r="E102" s="378">
        <f>D102-C102-(1/24)</f>
        <v>0.21388888888888893</v>
      </c>
    </row>
    <row r="103" spans="2:5" ht="13.5">
      <c r="B103" s="411">
        <v>38414</v>
      </c>
      <c r="C103" s="379">
        <v>0.3576388888888889</v>
      </c>
      <c r="D103" s="379">
        <v>0.7083333333333334</v>
      </c>
      <c r="E103" s="378">
        <f>D103-C103-(1/24)</f>
        <v>0.3090277777777778</v>
      </c>
    </row>
    <row r="104" spans="2:5" ht="13.5">
      <c r="B104" s="411">
        <v>38415</v>
      </c>
      <c r="C104" s="379">
        <v>0.3520833333333333</v>
      </c>
      <c r="D104" s="379">
        <v>0.7159722222222222</v>
      </c>
      <c r="E104" s="378">
        <f>D104-C104-(1/24)</f>
        <v>0.32222222222222224</v>
      </c>
    </row>
    <row r="105" spans="2:5" ht="13.5">
      <c r="B105" s="411">
        <v>38416</v>
      </c>
      <c r="C105" s="328"/>
      <c r="D105" s="328"/>
      <c r="E105" s="412"/>
    </row>
    <row r="106" spans="2:5" ht="13.5">
      <c r="B106" s="411">
        <v>38417</v>
      </c>
      <c r="C106" s="328"/>
      <c r="D106" s="328"/>
      <c r="E106" s="412"/>
    </row>
    <row r="107" spans="2:5" ht="13.5">
      <c r="B107" s="411">
        <v>38418</v>
      </c>
      <c r="C107" s="379">
        <v>0.3625</v>
      </c>
      <c r="D107" s="379">
        <v>0.7097222222222223</v>
      </c>
      <c r="E107" s="378">
        <f>D107-C107-(1/24)</f>
        <v>0.3055555555555556</v>
      </c>
    </row>
    <row r="108" spans="2:5" ht="13.5">
      <c r="B108" s="411">
        <v>38419</v>
      </c>
      <c r="C108" s="379">
        <v>0.3576388888888889</v>
      </c>
      <c r="D108" s="379">
        <v>0.7236111111111111</v>
      </c>
      <c r="E108" s="378">
        <f>D108-C108-(1/24)</f>
        <v>0.3243055555555555</v>
      </c>
    </row>
    <row r="109" spans="1:5" ht="16.5">
      <c r="A109" s="291"/>
      <c r="B109" s="411">
        <v>38420</v>
      </c>
      <c r="C109" s="379">
        <v>0.3666666666666667</v>
      </c>
      <c r="D109" s="379">
        <v>0.7604166666666666</v>
      </c>
      <c r="E109" s="378">
        <f>D109-C109-(1/24)</f>
        <v>0.35208333333333325</v>
      </c>
    </row>
    <row r="110" spans="2:5" ht="13.5">
      <c r="B110" s="411">
        <v>38421</v>
      </c>
      <c r="C110" s="379">
        <v>0.45</v>
      </c>
      <c r="D110" s="379">
        <v>0.74375</v>
      </c>
      <c r="E110" s="378">
        <f>D110-C110-(1/24)</f>
        <v>0.2520833333333333</v>
      </c>
    </row>
    <row r="111" spans="2:5" ht="13.5">
      <c r="B111" s="411">
        <v>38422</v>
      </c>
      <c r="C111" s="379">
        <v>0.39375</v>
      </c>
      <c r="D111" s="379">
        <v>0.7222222222222222</v>
      </c>
      <c r="E111" s="378">
        <f>D111-C111-(1/24)</f>
        <v>0.28680555555555554</v>
      </c>
    </row>
    <row r="112" spans="2:5" ht="13.5">
      <c r="B112" s="411">
        <v>38423</v>
      </c>
      <c r="C112" s="328"/>
      <c r="D112" s="379"/>
      <c r="E112" s="412"/>
    </row>
    <row r="113" spans="2:5" ht="13.5">
      <c r="B113" s="411">
        <v>38424</v>
      </c>
      <c r="C113" s="328"/>
      <c r="D113" s="328"/>
      <c r="E113" s="412"/>
    </row>
    <row r="114" spans="2:5" ht="13.5">
      <c r="B114" s="411">
        <v>38425</v>
      </c>
      <c r="C114" s="379">
        <v>0.33194444444444443</v>
      </c>
      <c r="D114" s="379">
        <v>0.7986111111111112</v>
      </c>
      <c r="E114" s="378">
        <f>D114-C114-(1/24)</f>
        <v>0.42500000000000004</v>
      </c>
    </row>
    <row r="115" spans="1:5" ht="16.5">
      <c r="A115" s="291"/>
      <c r="E115" s="15" t="s">
        <v>785</v>
      </c>
    </row>
    <row r="118" ht="13.5">
      <c r="B118" t="s">
        <v>807</v>
      </c>
    </row>
    <row r="119" spans="2:3" ht="13.5">
      <c r="B119" s="333" t="s">
        <v>808</v>
      </c>
      <c r="C119" s="333" t="s">
        <v>809</v>
      </c>
    </row>
    <row r="120" ht="13.5">
      <c r="B120" t="s">
        <v>810</v>
      </c>
    </row>
    <row r="121" ht="15">
      <c r="A121" s="119"/>
    </row>
    <row r="122" ht="13.5">
      <c r="B122" t="s">
        <v>811</v>
      </c>
    </row>
    <row r="123" ht="13.5">
      <c r="B123" t="s">
        <v>812</v>
      </c>
    </row>
    <row r="124" ht="13.5">
      <c r="B124" t="s">
        <v>813</v>
      </c>
    </row>
    <row r="125" ht="13.5">
      <c r="B125" t="s">
        <v>814</v>
      </c>
    </row>
    <row r="126" spans="2:3" ht="13.5">
      <c r="B126" t="s">
        <v>815</v>
      </c>
      <c r="C126" s="221"/>
    </row>
    <row r="127" ht="15">
      <c r="A127" s="119"/>
    </row>
    <row r="128" ht="15">
      <c r="A128" s="119"/>
    </row>
    <row r="129" ht="15">
      <c r="A129" s="119"/>
    </row>
  </sheetData>
  <mergeCells count="5">
    <mergeCell ref="B10:E11"/>
    <mergeCell ref="B17:E18"/>
    <mergeCell ref="B24:C24"/>
    <mergeCell ref="B49:E49"/>
    <mergeCell ref="D47:E47"/>
  </mergeCells>
  <printOptions/>
  <pageMargins left="0.75" right="0.75" top="1" bottom="1" header="0.512" footer="0.512"/>
  <pageSetup orientation="portrait" paperSize="9" r:id="rId2"/>
  <headerFooter alignWithMargins="0">
    <oddHeader>&amp;L&amp;"Century,斜体"&amp;10SystemKOMACO&amp;RExcel：&amp;A</oddHeader>
    <oddFooter>&amp;L2005/2&amp;C&amp;P/&amp;N</oddFooter>
  </headerFooter>
  <rowBreaks count="2" manualBreakCount="2">
    <brk id="54" max="255" man="1"/>
    <brk id="97" max="255" man="1"/>
  </rowBreaks>
  <ignoredErrors>
    <ignoredError sqref="C69:C71" formulaRange="1"/>
  </ignoredErrors>
  <drawing r:id="rId1"/>
</worksheet>
</file>

<file path=xl/worksheets/sheet20.xml><?xml version="1.0" encoding="utf-8"?>
<worksheet xmlns="http://schemas.openxmlformats.org/spreadsheetml/2006/main" xmlns:r="http://schemas.openxmlformats.org/officeDocument/2006/relationships">
  <sheetPr codeName="Sheet18"/>
  <dimension ref="A1:J45"/>
  <sheetViews>
    <sheetView workbookViewId="0" topLeftCell="A7">
      <selection activeCell="B1" sqref="B1"/>
    </sheetView>
  </sheetViews>
  <sheetFormatPr defaultColWidth="9.00390625" defaultRowHeight="13.5"/>
  <cols>
    <col min="2" max="5" width="19.375" style="0" customWidth="1"/>
  </cols>
  <sheetData>
    <row r="1" ht="31.5" customHeight="1">
      <c r="B1" s="1" t="s">
        <v>406</v>
      </c>
    </row>
    <row r="3" spans="1:5" ht="13.5">
      <c r="A3" s="40" t="s">
        <v>652</v>
      </c>
      <c r="B3" s="471" t="s">
        <v>411</v>
      </c>
      <c r="C3" s="510"/>
      <c r="D3" s="510"/>
      <c r="E3" s="510"/>
    </row>
    <row r="4" spans="1:5" ht="13.5">
      <c r="A4" s="41"/>
      <c r="B4" s="525"/>
      <c r="C4" s="458"/>
      <c r="D4" s="458"/>
      <c r="E4" s="458"/>
    </row>
    <row r="5" spans="1:5" ht="13.5">
      <c r="A5" s="41"/>
      <c r="B5" s="525"/>
      <c r="C5" s="458"/>
      <c r="D5" s="458"/>
      <c r="E5" s="458"/>
    </row>
    <row r="6" spans="1:5" ht="13.5">
      <c r="A6" s="203"/>
      <c r="B6" s="502" t="s">
        <v>413</v>
      </c>
      <c r="C6" s="503"/>
      <c r="D6" s="503"/>
      <c r="E6" s="503"/>
    </row>
    <row r="7" spans="1:5" ht="13.5">
      <c r="A7" s="203"/>
      <c r="B7" s="502"/>
      <c r="C7" s="503"/>
      <c r="D7" s="503"/>
      <c r="E7" s="503"/>
    </row>
    <row r="8" spans="2:5" ht="13.5">
      <c r="B8" s="4"/>
      <c r="C8" s="4"/>
      <c r="D8" s="4"/>
      <c r="E8" s="4"/>
    </row>
    <row r="9" spans="1:5" ht="13.5">
      <c r="A9" s="42" t="s">
        <v>631</v>
      </c>
      <c r="B9" s="472" t="s">
        <v>414</v>
      </c>
      <c r="C9" s="473"/>
      <c r="D9" s="473"/>
      <c r="E9" s="474"/>
    </row>
    <row r="11" spans="1:5" ht="13.5">
      <c r="A11" s="35" t="s">
        <v>655</v>
      </c>
      <c r="B11" s="526" t="s">
        <v>415</v>
      </c>
      <c r="C11" s="518"/>
      <c r="D11" s="518"/>
      <c r="E11" s="518"/>
    </row>
    <row r="12" spans="1:5" ht="13.5">
      <c r="A12" s="36"/>
      <c r="B12" s="527"/>
      <c r="C12" s="518"/>
      <c r="D12" s="518"/>
      <c r="E12" s="518"/>
    </row>
    <row r="13" spans="1:5" ht="13.5">
      <c r="A13" s="36"/>
      <c r="B13" s="528"/>
      <c r="C13" s="455"/>
      <c r="D13" s="455"/>
      <c r="E13" s="455"/>
    </row>
    <row r="14" spans="1:5" ht="13.5">
      <c r="A14" s="36"/>
      <c r="B14" s="528"/>
      <c r="C14" s="455"/>
      <c r="D14" s="455"/>
      <c r="E14" s="455"/>
    </row>
    <row r="15" spans="1:5" ht="13.5">
      <c r="A15" s="66"/>
      <c r="B15" s="519" t="s">
        <v>417</v>
      </c>
      <c r="C15" s="518"/>
      <c r="D15" s="518"/>
      <c r="E15" s="518"/>
    </row>
    <row r="16" spans="1:5" ht="16.5" customHeight="1">
      <c r="A16" s="7"/>
      <c r="B16" s="517" t="s">
        <v>416</v>
      </c>
      <c r="C16" s="518"/>
      <c r="D16" s="518"/>
      <c r="E16" s="518"/>
    </row>
    <row r="17" spans="1:5" ht="16.5" customHeight="1">
      <c r="A17" s="7"/>
      <c r="B17" s="519"/>
      <c r="C17" s="518"/>
      <c r="D17" s="518"/>
      <c r="E17" s="518"/>
    </row>
    <row r="18" spans="1:5" ht="16.5" customHeight="1">
      <c r="A18" s="7"/>
      <c r="B18" s="520"/>
      <c r="C18" s="521"/>
      <c r="D18" s="521"/>
      <c r="E18" s="521"/>
    </row>
    <row r="19" spans="1:5" ht="16.5" customHeight="1">
      <c r="A19" s="7"/>
      <c r="B19" s="519" t="s">
        <v>418</v>
      </c>
      <c r="C19" s="518"/>
      <c r="D19" s="518"/>
      <c r="E19" s="518"/>
    </row>
    <row r="20" spans="1:5" ht="16.5" customHeight="1">
      <c r="A20" s="10"/>
      <c r="B20" s="17"/>
      <c r="C20" s="12"/>
      <c r="D20" s="11"/>
      <c r="E20" s="11"/>
    </row>
    <row r="21" spans="1:5" ht="16.5" customHeight="1">
      <c r="A21" s="10"/>
      <c r="B21" s="130" t="s">
        <v>882</v>
      </c>
      <c r="C21" s="11"/>
      <c r="D21" s="11"/>
      <c r="E21" s="159"/>
    </row>
    <row r="22" spans="1:5" ht="16.5" customHeight="1">
      <c r="A22" s="10"/>
      <c r="B22" s="514" t="s">
        <v>660</v>
      </c>
      <c r="C22" s="515"/>
      <c r="D22" s="150" t="s">
        <v>661</v>
      </c>
      <c r="E22" s="240" t="s">
        <v>353</v>
      </c>
    </row>
    <row r="23" spans="1:10" ht="16.5" customHeight="1">
      <c r="A23" s="10"/>
      <c r="B23" s="429" t="s">
        <v>419</v>
      </c>
      <c r="C23" s="458"/>
      <c r="D23" s="153">
        <f>EDATE("2005/1/31",1)</f>
        <v>38411</v>
      </c>
      <c r="E23" s="241" t="s">
        <v>871</v>
      </c>
      <c r="J23" s="158"/>
    </row>
    <row r="24" spans="1:5" ht="16.5" customHeight="1">
      <c r="A24" s="10"/>
      <c r="B24" s="429" t="s">
        <v>419</v>
      </c>
      <c r="C24" s="458"/>
      <c r="D24" s="152">
        <f>EDATE("2005/1/31",1)</f>
        <v>38411</v>
      </c>
      <c r="E24" s="241" t="s">
        <v>387</v>
      </c>
    </row>
    <row r="25" spans="1:5" ht="16.5" customHeight="1">
      <c r="A25" s="10"/>
      <c r="B25" s="429" t="s">
        <v>451</v>
      </c>
      <c r="C25" s="458"/>
      <c r="D25" s="152">
        <f>EDATE("2005/1/25",2)</f>
        <v>38436</v>
      </c>
      <c r="E25" s="241" t="s">
        <v>387</v>
      </c>
    </row>
    <row r="26" spans="1:5" ht="16.5" customHeight="1">
      <c r="A26" s="10"/>
      <c r="B26" s="429" t="s">
        <v>420</v>
      </c>
      <c r="C26" s="458"/>
      <c r="D26" s="152">
        <f>EDATE("2005/1/31",-1)</f>
        <v>38352</v>
      </c>
      <c r="E26" s="241" t="s">
        <v>421</v>
      </c>
    </row>
    <row r="27" spans="1:5" ht="16.5" customHeight="1">
      <c r="A27" s="10"/>
      <c r="B27" s="429" t="s">
        <v>422</v>
      </c>
      <c r="C27" s="458"/>
      <c r="D27" s="152">
        <f>EDATE("2005/1/31",1.5)</f>
        <v>38411</v>
      </c>
      <c r="E27" s="264" t="s">
        <v>423</v>
      </c>
    </row>
    <row r="28" spans="1:5" ht="16.5" customHeight="1">
      <c r="A28" s="10"/>
      <c r="B28" s="429" t="s">
        <v>424</v>
      </c>
      <c r="C28" s="458"/>
      <c r="D28" s="152" t="e">
        <f>EDATE("9999/12/31",1)</f>
        <v>#NUM!</v>
      </c>
      <c r="E28" s="264" t="s">
        <v>425</v>
      </c>
    </row>
    <row r="29" spans="1:5" ht="16.5" customHeight="1">
      <c r="A29" s="10"/>
      <c r="B29" s="429" t="s">
        <v>426</v>
      </c>
      <c r="C29" s="458"/>
      <c r="D29" s="152" t="e">
        <f>EDATE("1899/12/31",1)</f>
        <v>#VALUE!</v>
      </c>
      <c r="E29" s="264" t="s">
        <v>427</v>
      </c>
    </row>
    <row r="30" spans="2:3" ht="16.5" customHeight="1">
      <c r="B30" s="122"/>
      <c r="C30" s="10"/>
    </row>
    <row r="31" spans="2:5" ht="16.5" customHeight="1">
      <c r="B31" s="442" t="s">
        <v>432</v>
      </c>
      <c r="C31" s="428"/>
      <c r="D31" s="428"/>
      <c r="E31" s="428"/>
    </row>
    <row r="32" spans="2:5" ht="16.5" customHeight="1">
      <c r="B32" s="429" t="s">
        <v>428</v>
      </c>
      <c r="C32" s="458"/>
      <c r="D32" s="152" t="e">
        <f ca="1">EDATE(TODAY(),1)</f>
        <v>#NAME?</v>
      </c>
      <c r="E32" s="264" t="s">
        <v>429</v>
      </c>
    </row>
    <row r="33" spans="2:5" ht="16.5" customHeight="1">
      <c r="B33" s="429" t="s">
        <v>430</v>
      </c>
      <c r="C33" s="458"/>
      <c r="D33" s="152" t="e">
        <f ca="1">EDATE(NOW(),2)</f>
        <v>#NAME?</v>
      </c>
      <c r="E33" s="264" t="s">
        <v>431</v>
      </c>
    </row>
    <row r="34" spans="2:3" ht="16.5" customHeight="1">
      <c r="B34" s="16"/>
      <c r="C34" s="5"/>
    </row>
    <row r="35" spans="2:3" ht="16.5" customHeight="1">
      <c r="B35" s="83" t="s">
        <v>433</v>
      </c>
      <c r="C35" s="5"/>
    </row>
    <row r="36" spans="2:3" ht="16.5" customHeight="1">
      <c r="B36" s="250">
        <v>38384</v>
      </c>
      <c r="C36" s="5"/>
    </row>
    <row r="37" spans="2:4" ht="13.5">
      <c r="B37" s="54" t="s">
        <v>434</v>
      </c>
      <c r="C37" s="136">
        <f>EDATE(B36,2)</f>
        <v>38443</v>
      </c>
      <c r="D37" s="241" t="s">
        <v>871</v>
      </c>
    </row>
    <row r="38" spans="2:4" ht="13.5">
      <c r="B38" s="54" t="s">
        <v>435</v>
      </c>
      <c r="C38" s="134">
        <f>EDATE($B$36,2)</f>
        <v>38443</v>
      </c>
      <c r="D38" s="241" t="s">
        <v>387</v>
      </c>
    </row>
    <row r="41" ht="13.5">
      <c r="A41" s="15" t="s">
        <v>1012</v>
      </c>
    </row>
    <row r="42" spans="2:5" ht="13.5">
      <c r="B42" t="s">
        <v>452</v>
      </c>
      <c r="E42" s="2" t="s">
        <v>457</v>
      </c>
    </row>
    <row r="43" spans="2:5" ht="13.5">
      <c r="B43" s="267" t="s">
        <v>454</v>
      </c>
      <c r="C43" s="268">
        <v>38398</v>
      </c>
      <c r="D43" s="266" t="s">
        <v>455</v>
      </c>
      <c r="E43" s="265">
        <f>EOMONTH(C43,2)</f>
        <v>38472</v>
      </c>
    </row>
    <row r="44" ht="13.5">
      <c r="B44" t="s">
        <v>453</v>
      </c>
    </row>
    <row r="45" spans="2:5" ht="13.5">
      <c r="B45" s="267" t="s">
        <v>454</v>
      </c>
      <c r="C45" s="268">
        <v>38398</v>
      </c>
      <c r="D45" s="266" t="s">
        <v>456</v>
      </c>
      <c r="E45" s="265">
        <f>EDATE(C45,2)</f>
        <v>38457</v>
      </c>
    </row>
  </sheetData>
  <mergeCells count="18">
    <mergeCell ref="B28:C28"/>
    <mergeCell ref="B29:C29"/>
    <mergeCell ref="B32:C32"/>
    <mergeCell ref="B33:C33"/>
    <mergeCell ref="B31:E31"/>
    <mergeCell ref="B24:C24"/>
    <mergeCell ref="B25:C25"/>
    <mergeCell ref="B26:C26"/>
    <mergeCell ref="B27:C27"/>
    <mergeCell ref="B15:E15"/>
    <mergeCell ref="B19:E19"/>
    <mergeCell ref="B22:C22"/>
    <mergeCell ref="B23:C23"/>
    <mergeCell ref="B16:E18"/>
    <mergeCell ref="B9:E9"/>
    <mergeCell ref="B3:E5"/>
    <mergeCell ref="B6:E7"/>
    <mergeCell ref="B11:E14"/>
  </mergeCells>
  <hyperlinks>
    <hyperlink ref="E42" location="EOMONTH関数!B1" display="→EOMONTH関数"/>
  </hyperlink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&amp;L2005/2&amp;C&amp;P/&amp;N</oddFooter>
  </headerFooter>
  <ignoredErrors>
    <ignoredError sqref="D28:D29" evalError="1"/>
  </ignoredErrors>
  <drawing r:id="rId1"/>
</worksheet>
</file>

<file path=xl/worksheets/sheet21.xml><?xml version="1.0" encoding="utf-8"?>
<worksheet xmlns="http://schemas.openxmlformats.org/spreadsheetml/2006/main" xmlns:r="http://schemas.openxmlformats.org/officeDocument/2006/relationships">
  <sheetPr codeName="Sheet21"/>
  <dimension ref="A1:J62"/>
  <sheetViews>
    <sheetView workbookViewId="0" topLeftCell="A1">
      <selection activeCell="B1" sqref="B1"/>
    </sheetView>
  </sheetViews>
  <sheetFormatPr defaultColWidth="9.00390625" defaultRowHeight="13.5"/>
  <cols>
    <col min="2" max="5" width="19.375" style="0" customWidth="1"/>
  </cols>
  <sheetData>
    <row r="1" ht="31.5" customHeight="1">
      <c r="B1" s="1" t="s">
        <v>436</v>
      </c>
    </row>
    <row r="3" spans="1:5" ht="13.5">
      <c r="A3" s="40" t="s">
        <v>652</v>
      </c>
      <c r="B3" s="502" t="s">
        <v>437</v>
      </c>
      <c r="C3" s="503"/>
      <c r="D3" s="503"/>
      <c r="E3" s="503"/>
    </row>
    <row r="4" spans="1:5" ht="13.5">
      <c r="A4" s="41"/>
      <c r="B4" s="516"/>
      <c r="C4" s="455"/>
      <c r="D4" s="455"/>
      <c r="E4" s="455"/>
    </row>
    <row r="5" spans="1:5" ht="13.5">
      <c r="A5" s="41"/>
      <c r="B5" s="516"/>
      <c r="C5" s="455"/>
      <c r="D5" s="455"/>
      <c r="E5" s="455"/>
    </row>
    <row r="6" spans="1:5" ht="13.5">
      <c r="A6" s="41"/>
      <c r="B6" s="516"/>
      <c r="C6" s="455"/>
      <c r="D6" s="455"/>
      <c r="E6" s="455"/>
    </row>
    <row r="7" spans="1:5" ht="13.5">
      <c r="A7" s="41"/>
      <c r="B7" s="516"/>
      <c r="C7" s="455"/>
      <c r="D7" s="455"/>
      <c r="E7" s="455"/>
    </row>
    <row r="8" spans="2:5" ht="13.5">
      <c r="B8" s="4"/>
      <c r="C8" s="4"/>
      <c r="D8" s="4"/>
      <c r="E8" s="4"/>
    </row>
    <row r="9" spans="1:5" ht="13.5">
      <c r="A9" s="42" t="s">
        <v>631</v>
      </c>
      <c r="B9" s="472" t="s">
        <v>438</v>
      </c>
      <c r="C9" s="473"/>
      <c r="D9" s="473"/>
      <c r="E9" s="474"/>
    </row>
    <row r="11" spans="1:5" ht="13.5">
      <c r="A11" s="239" t="s">
        <v>655</v>
      </c>
      <c r="B11" s="517" t="s">
        <v>440</v>
      </c>
      <c r="C11" s="518"/>
      <c r="D11" s="518"/>
      <c r="E11" s="518"/>
    </row>
    <row r="12" spans="1:5" ht="13.5">
      <c r="A12" s="66"/>
      <c r="B12" s="519"/>
      <c r="C12" s="518"/>
      <c r="D12" s="518"/>
      <c r="E12" s="518"/>
    </row>
    <row r="13" spans="1:5" ht="13.5">
      <c r="A13" s="66"/>
      <c r="B13" s="520"/>
      <c r="C13" s="521"/>
      <c r="D13" s="521"/>
      <c r="E13" s="521"/>
    </row>
    <row r="14" spans="1:5" ht="13.5">
      <c r="A14" s="66"/>
      <c r="B14" s="520"/>
      <c r="C14" s="521"/>
      <c r="D14" s="521"/>
      <c r="E14" s="521"/>
    </row>
    <row r="15" spans="1:5" ht="13.5">
      <c r="A15" s="66"/>
      <c r="B15" s="519" t="s">
        <v>467</v>
      </c>
      <c r="C15" s="530"/>
      <c r="D15" s="530"/>
      <c r="E15" s="530"/>
    </row>
    <row r="16" spans="1:5" ht="16.5" customHeight="1">
      <c r="A16" s="7"/>
      <c r="B16" s="517" t="s">
        <v>441</v>
      </c>
      <c r="C16" s="518"/>
      <c r="D16" s="518"/>
      <c r="E16" s="518"/>
    </row>
    <row r="17" spans="1:5" ht="16.5" customHeight="1">
      <c r="A17" s="7"/>
      <c r="B17" s="519"/>
      <c r="C17" s="518"/>
      <c r="D17" s="518"/>
      <c r="E17" s="518"/>
    </row>
    <row r="18" spans="1:5" ht="16.5" customHeight="1">
      <c r="A18" s="7"/>
      <c r="B18" s="519"/>
      <c r="C18" s="518"/>
      <c r="D18" s="518"/>
      <c r="E18" s="518"/>
    </row>
    <row r="19" spans="1:5" ht="16.5" customHeight="1">
      <c r="A19" s="7"/>
      <c r="B19" s="520"/>
      <c r="C19" s="521"/>
      <c r="D19" s="521"/>
      <c r="E19" s="521"/>
    </row>
    <row r="20" spans="1:5" ht="16.5" customHeight="1">
      <c r="A20" s="7"/>
      <c r="B20" s="519" t="s">
        <v>442</v>
      </c>
      <c r="C20" s="518"/>
      <c r="D20" s="518"/>
      <c r="E20" s="518"/>
    </row>
    <row r="21" spans="1:5" ht="16.5" customHeight="1">
      <c r="A21" s="10"/>
      <c r="B21" s="17"/>
      <c r="C21" s="12"/>
      <c r="D21" s="11"/>
      <c r="E21" s="11"/>
    </row>
    <row r="22" spans="1:5" ht="16.5" customHeight="1">
      <c r="A22" s="10"/>
      <c r="B22" s="130" t="s">
        <v>882</v>
      </c>
      <c r="C22" s="11"/>
      <c r="D22" s="11"/>
      <c r="E22" s="159"/>
    </row>
    <row r="23" spans="1:5" ht="16.5" customHeight="1">
      <c r="A23" s="10"/>
      <c r="B23" s="514" t="s">
        <v>660</v>
      </c>
      <c r="C23" s="515"/>
      <c r="D23" s="150" t="s">
        <v>661</v>
      </c>
      <c r="E23" s="240" t="s">
        <v>353</v>
      </c>
    </row>
    <row r="24" spans="1:10" ht="16.5" customHeight="1">
      <c r="A24" s="10"/>
      <c r="B24" s="429" t="s">
        <v>443</v>
      </c>
      <c r="C24" s="458"/>
      <c r="D24" s="153">
        <f>EOMONTH("2005/1/31",1)</f>
        <v>38411</v>
      </c>
      <c r="E24" s="241" t="s">
        <v>871</v>
      </c>
      <c r="J24" s="158"/>
    </row>
    <row r="25" spans="1:5" ht="16.5" customHeight="1">
      <c r="A25" s="10"/>
      <c r="B25" s="429" t="s">
        <v>443</v>
      </c>
      <c r="C25" s="458"/>
      <c r="D25" s="152">
        <f>EOMONTH("2005/1/31",1)</f>
        <v>38411</v>
      </c>
      <c r="E25" s="241" t="s">
        <v>387</v>
      </c>
    </row>
    <row r="26" spans="1:5" ht="16.5" customHeight="1">
      <c r="A26" s="10"/>
      <c r="B26" s="429" t="s">
        <v>449</v>
      </c>
      <c r="C26" s="458"/>
      <c r="D26" s="152">
        <f>EOMONTH("2005/1/25",2)</f>
        <v>38442</v>
      </c>
      <c r="E26" s="241" t="s">
        <v>387</v>
      </c>
    </row>
    <row r="27" spans="1:5" ht="16.5" customHeight="1">
      <c r="A27" s="10"/>
      <c r="B27" s="429" t="s">
        <v>444</v>
      </c>
      <c r="C27" s="458"/>
      <c r="D27" s="152">
        <f>EOMONTH("2005/1/31",-1)</f>
        <v>38352</v>
      </c>
      <c r="E27" s="241" t="s">
        <v>421</v>
      </c>
    </row>
    <row r="28" spans="1:5" ht="16.5" customHeight="1">
      <c r="A28" s="10"/>
      <c r="B28" s="429" t="s">
        <v>450</v>
      </c>
      <c r="C28" s="458"/>
      <c r="D28" s="152">
        <f>EOMONTH("2005/1/25",1.5)</f>
        <v>38411</v>
      </c>
      <c r="E28" s="264" t="s">
        <v>423</v>
      </c>
    </row>
    <row r="29" spans="1:5" ht="16.5" customHeight="1">
      <c r="A29" s="10"/>
      <c r="B29" s="429" t="s">
        <v>445</v>
      </c>
      <c r="C29" s="458"/>
      <c r="D29" s="152" t="e">
        <f>EOMONTH("9999/12/31",1)</f>
        <v>#NUM!</v>
      </c>
      <c r="E29" s="264" t="s">
        <v>425</v>
      </c>
    </row>
    <row r="30" spans="1:5" ht="16.5" customHeight="1">
      <c r="A30" s="10"/>
      <c r="B30" s="429" t="s">
        <v>468</v>
      </c>
      <c r="C30" s="458"/>
      <c r="D30" s="152" t="e">
        <f>EOMONTH("1999/-12/31",1)</f>
        <v>#VALUE!</v>
      </c>
      <c r="E30" s="264" t="s">
        <v>469</v>
      </c>
    </row>
    <row r="31" spans="1:5" ht="16.5" customHeight="1">
      <c r="A31" s="10"/>
      <c r="B31" s="429" t="s">
        <v>446</v>
      </c>
      <c r="C31" s="458"/>
      <c r="D31" s="152" t="e">
        <f>EOMONTH("1899/12/31",1)</f>
        <v>#VALUE!</v>
      </c>
      <c r="E31" s="264" t="s">
        <v>427</v>
      </c>
    </row>
    <row r="32" spans="2:3" ht="16.5" customHeight="1">
      <c r="B32" s="122"/>
      <c r="C32" s="10"/>
    </row>
    <row r="33" spans="2:3" ht="16.5" customHeight="1">
      <c r="B33" s="269" t="s">
        <v>460</v>
      </c>
      <c r="C33" s="10"/>
    </row>
    <row r="34" spans="2:5" ht="16.5" customHeight="1">
      <c r="B34" s="429" t="s">
        <v>459</v>
      </c>
      <c r="C34" s="458"/>
      <c r="D34" s="152">
        <f>EOMONTH("2005/1/25",1)+1</f>
        <v>38412</v>
      </c>
      <c r="E34" s="264" t="s">
        <v>462</v>
      </c>
    </row>
    <row r="35" spans="2:5" ht="16.5" customHeight="1">
      <c r="B35" s="429" t="s">
        <v>461</v>
      </c>
      <c r="C35" s="458"/>
      <c r="D35" s="152">
        <f>EOMONTH("2005/1/20",1)+10</f>
        <v>38421</v>
      </c>
      <c r="E35" s="264" t="s">
        <v>463</v>
      </c>
    </row>
    <row r="36" spans="2:5" ht="16.5" customHeight="1">
      <c r="B36" s="429" t="s">
        <v>465</v>
      </c>
      <c r="C36" s="458"/>
      <c r="D36" s="152">
        <f>EOMONTH("2005/1/31",2)+5</f>
        <v>38447</v>
      </c>
      <c r="E36" s="264" t="s">
        <v>464</v>
      </c>
    </row>
    <row r="37" spans="2:5" ht="16.5" customHeight="1">
      <c r="B37" s="429" t="s">
        <v>222</v>
      </c>
      <c r="C37" s="458"/>
      <c r="D37" s="152">
        <f>(EOMONTH(DATE(2005,2,1),0))</f>
        <v>38411</v>
      </c>
      <c r="E37" s="264" t="s">
        <v>223</v>
      </c>
    </row>
    <row r="38" spans="2:3" ht="16.5" customHeight="1">
      <c r="B38" s="122"/>
      <c r="C38" s="10"/>
    </row>
    <row r="39" spans="2:5" ht="16.5" customHeight="1">
      <c r="B39" s="442" t="s">
        <v>432</v>
      </c>
      <c r="C39" s="428"/>
      <c r="D39" s="428"/>
      <c r="E39" s="428"/>
    </row>
    <row r="40" spans="2:5" ht="16.5" customHeight="1">
      <c r="B40" s="429" t="s">
        <v>447</v>
      </c>
      <c r="C40" s="458"/>
      <c r="D40" s="152" t="e">
        <f ca="1">EOMONTH(TODAY(),1)</f>
        <v>#NAME?</v>
      </c>
      <c r="E40" s="264" t="s">
        <v>429</v>
      </c>
    </row>
    <row r="41" spans="2:5" ht="16.5" customHeight="1">
      <c r="B41" s="429" t="s">
        <v>448</v>
      </c>
      <c r="C41" s="458"/>
      <c r="D41" s="152" t="e">
        <f ca="1">EOMONTH(NOW(),2)</f>
        <v>#NAME?</v>
      </c>
      <c r="E41" s="264" t="s">
        <v>431</v>
      </c>
    </row>
    <row r="42" spans="2:3" ht="16.5" customHeight="1">
      <c r="B42" s="16"/>
      <c r="C42" s="5"/>
    </row>
    <row r="43" spans="2:3" ht="16.5" customHeight="1">
      <c r="B43" s="83" t="s">
        <v>433</v>
      </c>
      <c r="C43" s="5"/>
    </row>
    <row r="44" spans="2:3" ht="16.5" customHeight="1">
      <c r="B44" s="250">
        <v>38384</v>
      </c>
      <c r="C44" s="5"/>
    </row>
    <row r="45" spans="2:4" ht="13.5">
      <c r="B45" s="54" t="s">
        <v>154</v>
      </c>
      <c r="C45" s="136">
        <f>EOMONTH(B44,2)</f>
        <v>38472</v>
      </c>
      <c r="D45" s="241" t="s">
        <v>871</v>
      </c>
    </row>
    <row r="46" spans="2:4" ht="13.5">
      <c r="B46" s="54" t="s">
        <v>155</v>
      </c>
      <c r="C46" s="134">
        <f>EOMONTH($B$44,2)</f>
        <v>38472</v>
      </c>
      <c r="D46" s="241" t="s">
        <v>387</v>
      </c>
    </row>
    <row r="47" spans="1:5" ht="16.5" customHeight="1">
      <c r="A47" s="10"/>
      <c r="B47" s="17"/>
      <c r="C47" s="12"/>
      <c r="D47" s="11"/>
      <c r="E47" s="11"/>
    </row>
    <row r="48" spans="1:2" ht="13.5">
      <c r="A48" s="15"/>
      <c r="B48" s="83" t="s">
        <v>760</v>
      </c>
    </row>
    <row r="49" spans="2:5" ht="13.5">
      <c r="B49" t="s">
        <v>452</v>
      </c>
      <c r="E49" s="2" t="s">
        <v>458</v>
      </c>
    </row>
    <row r="50" spans="2:5" ht="13.5">
      <c r="B50" s="267" t="s">
        <v>454</v>
      </c>
      <c r="C50" s="268">
        <v>38398</v>
      </c>
      <c r="D50" s="266" t="s">
        <v>156</v>
      </c>
      <c r="E50" s="265">
        <f>EOMONTH(C50,2)</f>
        <v>38472</v>
      </c>
    </row>
    <row r="51" ht="13.5">
      <c r="B51" t="s">
        <v>453</v>
      </c>
    </row>
    <row r="52" spans="2:5" ht="13.5">
      <c r="B52" s="267" t="s">
        <v>454</v>
      </c>
      <c r="C52" s="268">
        <v>38398</v>
      </c>
      <c r="D52" s="266" t="s">
        <v>157</v>
      </c>
      <c r="E52" s="265">
        <f>EDATE(C52,2)</f>
        <v>38457</v>
      </c>
    </row>
    <row r="53" spans="1:5" ht="16.5" customHeight="1">
      <c r="A53" s="10"/>
      <c r="B53" s="17"/>
      <c r="C53" s="12"/>
      <c r="D53" s="11"/>
      <c r="E53" s="11"/>
    </row>
    <row r="54" spans="1:5" ht="16.5" customHeight="1">
      <c r="A54" s="10"/>
      <c r="B54" s="11"/>
      <c r="C54" s="12"/>
      <c r="D54" s="11"/>
      <c r="E54" s="11"/>
    </row>
    <row r="55" ht="16.5" customHeight="1">
      <c r="D55" s="127"/>
    </row>
    <row r="56" spans="2:3" ht="16.5" customHeight="1">
      <c r="B56" s="123"/>
      <c r="C56" s="124"/>
    </row>
    <row r="57" spans="2:3" ht="16.5" customHeight="1">
      <c r="B57" s="17"/>
      <c r="C57" s="124"/>
    </row>
    <row r="58" spans="2:3" ht="16.5" customHeight="1">
      <c r="B58" s="10"/>
      <c r="C58" s="330"/>
    </row>
    <row r="59" spans="2:3" ht="16.5" customHeight="1">
      <c r="B59" s="10"/>
      <c r="C59" s="10"/>
    </row>
    <row r="60" spans="2:3" ht="16.5" customHeight="1">
      <c r="B60" s="16"/>
      <c r="C60" s="5"/>
    </row>
    <row r="61" spans="2:3" ht="16.5" customHeight="1">
      <c r="B61" s="16"/>
      <c r="C61" s="5"/>
    </row>
    <row r="62" spans="2:3" ht="16.5" customHeight="1">
      <c r="B62" s="16"/>
      <c r="C62" s="5"/>
    </row>
  </sheetData>
  <mergeCells count="22">
    <mergeCell ref="B37:C37"/>
    <mergeCell ref="B39:E39"/>
    <mergeCell ref="B40:C40"/>
    <mergeCell ref="B41:C41"/>
    <mergeCell ref="B26:C26"/>
    <mergeCell ref="B27:C27"/>
    <mergeCell ref="B28:C28"/>
    <mergeCell ref="B29:C29"/>
    <mergeCell ref="B34:C34"/>
    <mergeCell ref="B35:C35"/>
    <mergeCell ref="B36:C36"/>
    <mergeCell ref="B30:C30"/>
    <mergeCell ref="B31:C31"/>
    <mergeCell ref="B20:E20"/>
    <mergeCell ref="B23:C23"/>
    <mergeCell ref="B24:C24"/>
    <mergeCell ref="B25:C25"/>
    <mergeCell ref="B9:E9"/>
    <mergeCell ref="B3:E7"/>
    <mergeCell ref="B11:E14"/>
    <mergeCell ref="B16:E19"/>
    <mergeCell ref="B15:E15"/>
  </mergeCells>
  <hyperlinks>
    <hyperlink ref="E49" location="EDATE関数!B1" display="→EDATE関数"/>
  </hyperlink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&amp;L2005/2&amp;C&amp;P/&amp;N</oddFooter>
  </headerFooter>
  <rowBreaks count="1" manualBreakCount="1">
    <brk id="47" max="255" man="1"/>
  </rowBreaks>
  <ignoredErrors>
    <ignoredError sqref="D30:D31 D29" evalError="1"/>
  </ignoredErrors>
  <drawing r:id="rId1"/>
</worksheet>
</file>

<file path=xl/worksheets/sheet22.xml><?xml version="1.0" encoding="utf-8"?>
<worksheet xmlns="http://schemas.openxmlformats.org/spreadsheetml/2006/main" xmlns:r="http://schemas.openxmlformats.org/officeDocument/2006/relationships">
  <sheetPr codeName="Sheet22"/>
  <dimension ref="A1:AC163"/>
  <sheetViews>
    <sheetView workbookViewId="0" topLeftCell="A1">
      <selection activeCell="B1" sqref="B1"/>
    </sheetView>
  </sheetViews>
  <sheetFormatPr defaultColWidth="9.00390625" defaultRowHeight="13.5"/>
  <cols>
    <col min="2" max="5" width="19.375" style="0" customWidth="1"/>
    <col min="6" max="6" width="5.75390625" style="0" customWidth="1"/>
    <col min="7" max="13" width="3.50390625" style="0" customWidth="1"/>
    <col min="14" max="14" width="2.00390625" style="0" customWidth="1"/>
    <col min="15" max="21" width="3.50390625" style="0" customWidth="1"/>
    <col min="22" max="22" width="2.00390625" style="0" customWidth="1"/>
    <col min="23" max="29" width="3.50390625" style="0" customWidth="1"/>
  </cols>
  <sheetData>
    <row r="1" ht="31.5" customHeight="1">
      <c r="B1" s="1" t="s">
        <v>407</v>
      </c>
    </row>
    <row r="2" spans="7:29" ht="13.5">
      <c r="G2" s="283" t="s">
        <v>493</v>
      </c>
      <c r="H2" s="284"/>
      <c r="I2" s="284"/>
      <c r="J2" s="284"/>
      <c r="K2" s="284"/>
      <c r="L2" s="284"/>
      <c r="M2" s="285"/>
      <c r="N2" s="278"/>
      <c r="O2" s="283" t="s">
        <v>492</v>
      </c>
      <c r="P2" s="284"/>
      <c r="Q2" s="284"/>
      <c r="R2" s="284"/>
      <c r="S2" s="284"/>
      <c r="T2" s="284"/>
      <c r="U2" s="285"/>
      <c r="V2" s="278"/>
      <c r="W2" s="283" t="s">
        <v>494</v>
      </c>
      <c r="X2" s="284"/>
      <c r="Y2" s="284"/>
      <c r="Z2" s="284"/>
      <c r="AA2" s="284"/>
      <c r="AB2" s="284"/>
      <c r="AC2" s="285"/>
    </row>
    <row r="3" spans="1:29" ht="13.5">
      <c r="A3" s="271" t="s">
        <v>652</v>
      </c>
      <c r="B3" s="502" t="s">
        <v>466</v>
      </c>
      <c r="C3" s="503"/>
      <c r="D3" s="503"/>
      <c r="E3" s="503"/>
      <c r="G3" s="274" t="s">
        <v>676</v>
      </c>
      <c r="H3" s="275" t="s">
        <v>485</v>
      </c>
      <c r="I3" s="275" t="s">
        <v>486</v>
      </c>
      <c r="J3" s="275" t="s">
        <v>487</v>
      </c>
      <c r="K3" s="275" t="s">
        <v>488</v>
      </c>
      <c r="L3" s="275" t="s">
        <v>489</v>
      </c>
      <c r="M3" s="276" t="s">
        <v>490</v>
      </c>
      <c r="N3" s="278"/>
      <c r="O3" s="274" t="s">
        <v>676</v>
      </c>
      <c r="P3" s="275" t="s">
        <v>485</v>
      </c>
      <c r="Q3" s="275" t="s">
        <v>486</v>
      </c>
      <c r="R3" s="275" t="s">
        <v>487</v>
      </c>
      <c r="S3" s="275" t="s">
        <v>488</v>
      </c>
      <c r="T3" s="275" t="s">
        <v>489</v>
      </c>
      <c r="U3" s="276" t="s">
        <v>490</v>
      </c>
      <c r="V3" s="278"/>
      <c r="W3" s="274" t="s">
        <v>676</v>
      </c>
      <c r="X3" s="275" t="s">
        <v>485</v>
      </c>
      <c r="Y3" s="275" t="s">
        <v>486</v>
      </c>
      <c r="Z3" s="275" t="s">
        <v>487</v>
      </c>
      <c r="AA3" s="275" t="s">
        <v>488</v>
      </c>
      <c r="AB3" s="275" t="s">
        <v>489</v>
      </c>
      <c r="AC3" s="276" t="s">
        <v>490</v>
      </c>
    </row>
    <row r="4" spans="1:29" ht="13.5">
      <c r="A4" s="203"/>
      <c r="B4" s="516"/>
      <c r="C4" s="521"/>
      <c r="D4" s="521"/>
      <c r="E4" s="521"/>
      <c r="G4" s="275"/>
      <c r="H4" s="275"/>
      <c r="I4" s="275"/>
      <c r="J4" s="275"/>
      <c r="K4" s="275"/>
      <c r="L4" s="275"/>
      <c r="M4" s="276">
        <v>1</v>
      </c>
      <c r="N4" s="278"/>
      <c r="O4" s="274"/>
      <c r="P4" s="275"/>
      <c r="Q4" s="275">
        <v>1</v>
      </c>
      <c r="R4" s="275">
        <v>2</v>
      </c>
      <c r="S4" s="275">
        <v>3</v>
      </c>
      <c r="T4" s="275">
        <v>4</v>
      </c>
      <c r="U4" s="276">
        <v>5</v>
      </c>
      <c r="V4" s="278"/>
      <c r="W4" s="274"/>
      <c r="X4" s="275"/>
      <c r="Y4" s="275">
        <v>1</v>
      </c>
      <c r="Z4" s="275">
        <v>2</v>
      </c>
      <c r="AA4" s="275">
        <v>3</v>
      </c>
      <c r="AB4" s="275">
        <v>4</v>
      </c>
      <c r="AC4" s="276">
        <v>5</v>
      </c>
    </row>
    <row r="5" spans="1:29" ht="13.5">
      <c r="A5" s="203"/>
      <c r="B5" s="516"/>
      <c r="C5" s="521"/>
      <c r="D5" s="521"/>
      <c r="E5" s="521"/>
      <c r="G5" s="276">
        <v>2</v>
      </c>
      <c r="H5" s="275">
        <v>3</v>
      </c>
      <c r="I5" s="275">
        <v>4</v>
      </c>
      <c r="J5" s="275">
        <v>5</v>
      </c>
      <c r="K5" s="275">
        <v>6</v>
      </c>
      <c r="L5" s="275">
        <v>7</v>
      </c>
      <c r="M5" s="276">
        <v>8</v>
      </c>
      <c r="N5" s="278"/>
      <c r="O5" s="274">
        <v>6</v>
      </c>
      <c r="P5" s="275">
        <v>7</v>
      </c>
      <c r="Q5" s="275">
        <v>8</v>
      </c>
      <c r="R5" s="275">
        <v>9</v>
      </c>
      <c r="S5" s="275">
        <v>10</v>
      </c>
      <c r="T5" s="276">
        <v>11</v>
      </c>
      <c r="U5" s="276">
        <v>12</v>
      </c>
      <c r="V5" s="278"/>
      <c r="W5" s="274">
        <v>6</v>
      </c>
      <c r="X5" s="275">
        <v>7</v>
      </c>
      <c r="Y5" s="275">
        <v>8</v>
      </c>
      <c r="Z5" s="275">
        <v>9</v>
      </c>
      <c r="AA5" s="275">
        <v>10</v>
      </c>
      <c r="AB5" s="277">
        <v>11</v>
      </c>
      <c r="AC5" s="276">
        <v>12</v>
      </c>
    </row>
    <row r="6" spans="1:29" ht="13.5">
      <c r="A6" s="203"/>
      <c r="B6" s="516"/>
      <c r="C6" s="521"/>
      <c r="D6" s="521"/>
      <c r="E6" s="521"/>
      <c r="G6" s="276">
        <v>9</v>
      </c>
      <c r="H6" s="276">
        <v>10</v>
      </c>
      <c r="I6" s="275">
        <v>11</v>
      </c>
      <c r="J6" s="275">
        <v>12</v>
      </c>
      <c r="K6" s="275">
        <v>13</v>
      </c>
      <c r="L6" s="275">
        <v>14</v>
      </c>
      <c r="M6" s="276">
        <v>15</v>
      </c>
      <c r="N6" s="278"/>
      <c r="O6" s="274">
        <v>13</v>
      </c>
      <c r="P6" s="275">
        <v>14</v>
      </c>
      <c r="Q6" s="275">
        <v>15</v>
      </c>
      <c r="R6" s="275">
        <v>16</v>
      </c>
      <c r="S6" s="275">
        <v>17</v>
      </c>
      <c r="T6" s="275">
        <v>18</v>
      </c>
      <c r="U6" s="276">
        <v>19</v>
      </c>
      <c r="V6" s="278"/>
      <c r="W6" s="274">
        <v>13</v>
      </c>
      <c r="X6" s="275">
        <v>14</v>
      </c>
      <c r="Y6" s="275">
        <v>15</v>
      </c>
      <c r="Z6" s="275">
        <v>16</v>
      </c>
      <c r="AA6" s="275">
        <v>17</v>
      </c>
      <c r="AB6" s="275">
        <v>18</v>
      </c>
      <c r="AC6" s="276">
        <v>19</v>
      </c>
    </row>
    <row r="7" spans="1:29" ht="13.5">
      <c r="A7" s="203"/>
      <c r="B7" s="516"/>
      <c r="C7" s="521"/>
      <c r="D7" s="521"/>
      <c r="E7" s="521"/>
      <c r="G7" s="276">
        <v>16</v>
      </c>
      <c r="H7" s="275">
        <v>17</v>
      </c>
      <c r="I7" s="275">
        <v>18</v>
      </c>
      <c r="J7" s="275">
        <v>19</v>
      </c>
      <c r="K7" s="275">
        <v>20</v>
      </c>
      <c r="L7" s="275">
        <v>21</v>
      </c>
      <c r="M7" s="276">
        <v>22</v>
      </c>
      <c r="N7" s="278"/>
      <c r="O7" s="274">
        <v>20</v>
      </c>
      <c r="P7" s="275">
        <v>21</v>
      </c>
      <c r="Q7" s="275">
        <v>22</v>
      </c>
      <c r="R7" s="275">
        <v>23</v>
      </c>
      <c r="S7" s="275">
        <v>24</v>
      </c>
      <c r="T7" s="275">
        <v>25</v>
      </c>
      <c r="U7" s="276">
        <v>26</v>
      </c>
      <c r="V7" s="278"/>
      <c r="W7" s="274">
        <v>20</v>
      </c>
      <c r="X7" s="276">
        <v>21</v>
      </c>
      <c r="Y7" s="275">
        <v>22</v>
      </c>
      <c r="Z7" s="275">
        <v>23</v>
      </c>
      <c r="AA7" s="275">
        <v>24</v>
      </c>
      <c r="AB7" s="275">
        <v>25</v>
      </c>
      <c r="AC7" s="276">
        <v>26</v>
      </c>
    </row>
    <row r="8" spans="2:29" ht="13.5">
      <c r="B8" s="4"/>
      <c r="C8" s="4"/>
      <c r="D8" s="4"/>
      <c r="E8" s="4"/>
      <c r="G8" s="276">
        <v>23</v>
      </c>
      <c r="H8" s="275">
        <v>24</v>
      </c>
      <c r="I8" s="275">
        <v>25</v>
      </c>
      <c r="J8" s="275">
        <v>26</v>
      </c>
      <c r="K8" s="275">
        <v>27</v>
      </c>
      <c r="L8" s="275">
        <v>28</v>
      </c>
      <c r="M8" s="276">
        <v>29</v>
      </c>
      <c r="N8" s="278"/>
      <c r="O8" s="274">
        <v>27</v>
      </c>
      <c r="P8" s="275">
        <v>28</v>
      </c>
      <c r="Q8" s="275"/>
      <c r="R8" s="275"/>
      <c r="S8" s="275"/>
      <c r="T8" s="275"/>
      <c r="U8" s="275"/>
      <c r="V8" s="278"/>
      <c r="W8" s="274">
        <v>27</v>
      </c>
      <c r="X8" s="275">
        <v>28</v>
      </c>
      <c r="Y8" s="275">
        <v>29</v>
      </c>
      <c r="Z8" s="275">
        <v>30</v>
      </c>
      <c r="AA8" s="275">
        <v>31</v>
      </c>
      <c r="AB8" s="275"/>
      <c r="AC8" s="275"/>
    </row>
    <row r="9" spans="1:29" ht="13.5">
      <c r="A9" s="42" t="s">
        <v>631</v>
      </c>
      <c r="B9" s="472" t="s">
        <v>470</v>
      </c>
      <c r="C9" s="473"/>
      <c r="D9" s="473"/>
      <c r="E9" s="474"/>
      <c r="G9" s="276">
        <v>30</v>
      </c>
      <c r="H9" s="275">
        <v>31</v>
      </c>
      <c r="I9" s="275"/>
      <c r="J9" s="275"/>
      <c r="K9" s="275"/>
      <c r="L9" s="275"/>
      <c r="M9" s="275"/>
      <c r="N9" s="278"/>
      <c r="O9" s="273"/>
      <c r="P9" s="273"/>
      <c r="Q9" s="273"/>
      <c r="R9" s="273"/>
      <c r="S9" s="273"/>
      <c r="T9" s="273"/>
      <c r="U9" s="273"/>
      <c r="V9" s="278"/>
      <c r="W9" s="273"/>
      <c r="X9" s="273"/>
      <c r="Y9" s="273"/>
      <c r="Z9" s="273"/>
      <c r="AA9" s="273"/>
      <c r="AB9" s="273"/>
      <c r="AC9" s="273"/>
    </row>
    <row r="10" spans="7:29" ht="13.5">
      <c r="G10" s="281"/>
      <c r="H10" s="281"/>
      <c r="I10" s="281"/>
      <c r="J10" s="281"/>
      <c r="K10" s="281"/>
      <c r="L10" s="281"/>
      <c r="M10" s="281"/>
      <c r="N10" s="223"/>
      <c r="O10" s="281"/>
      <c r="P10" s="281"/>
      <c r="Q10" s="281"/>
      <c r="R10" s="281"/>
      <c r="S10" s="281"/>
      <c r="T10" s="281"/>
      <c r="U10" s="281"/>
      <c r="V10" s="223"/>
      <c r="W10" s="281"/>
      <c r="X10" s="281"/>
      <c r="Y10" s="281"/>
      <c r="Z10" s="281"/>
      <c r="AA10" s="281"/>
      <c r="AB10" s="281"/>
      <c r="AC10" s="281"/>
    </row>
    <row r="11" spans="1:29" ht="13.5">
      <c r="A11" s="35" t="s">
        <v>655</v>
      </c>
      <c r="B11" s="505" t="s">
        <v>189</v>
      </c>
      <c r="C11" s="498"/>
      <c r="D11" s="498"/>
      <c r="E11" s="466"/>
      <c r="G11" s="282"/>
      <c r="H11" s="282"/>
      <c r="I11" s="282"/>
      <c r="J11" s="282"/>
      <c r="K11" s="282"/>
      <c r="L11" s="282"/>
      <c r="M11" s="282"/>
      <c r="N11" s="223"/>
      <c r="O11" s="282"/>
      <c r="P11" s="282"/>
      <c r="Q11" s="282"/>
      <c r="R11" s="282"/>
      <c r="S11" s="282"/>
      <c r="T11" s="282"/>
      <c r="U11" s="282"/>
      <c r="V11" s="223"/>
      <c r="W11" s="282"/>
      <c r="X11" s="282"/>
      <c r="Y11" s="282"/>
      <c r="Z11" s="282"/>
      <c r="AA11" s="282"/>
      <c r="AB11" s="282"/>
      <c r="AC11" s="282"/>
    </row>
    <row r="12" spans="1:29" ht="13.5">
      <c r="A12" s="36"/>
      <c r="B12" s="498"/>
      <c r="C12" s="498"/>
      <c r="D12" s="498"/>
      <c r="E12" s="466"/>
      <c r="G12" s="283" t="s">
        <v>502</v>
      </c>
      <c r="H12" s="284"/>
      <c r="I12" s="284"/>
      <c r="J12" s="284"/>
      <c r="K12" s="284"/>
      <c r="L12" s="284"/>
      <c r="M12" s="285"/>
      <c r="N12" s="278"/>
      <c r="O12" s="283" t="s">
        <v>491</v>
      </c>
      <c r="P12" s="284"/>
      <c r="Q12" s="284"/>
      <c r="R12" s="284"/>
      <c r="S12" s="284"/>
      <c r="T12" s="284"/>
      <c r="U12" s="285"/>
      <c r="V12" s="278"/>
      <c r="W12" s="283" t="s">
        <v>495</v>
      </c>
      <c r="X12" s="284"/>
      <c r="Y12" s="284"/>
      <c r="Z12" s="284"/>
      <c r="AA12" s="284"/>
      <c r="AB12" s="284"/>
      <c r="AC12" s="285"/>
    </row>
    <row r="13" spans="1:29" ht="13.5">
      <c r="A13" s="36"/>
      <c r="B13" s="505" t="s">
        <v>472</v>
      </c>
      <c r="C13" s="498"/>
      <c r="D13" s="498"/>
      <c r="E13" s="466"/>
      <c r="G13" s="276" t="s">
        <v>676</v>
      </c>
      <c r="H13" s="275" t="s">
        <v>485</v>
      </c>
      <c r="I13" s="275" t="s">
        <v>486</v>
      </c>
      <c r="J13" s="275" t="s">
        <v>487</v>
      </c>
      <c r="K13" s="275" t="s">
        <v>488</v>
      </c>
      <c r="L13" s="275" t="s">
        <v>489</v>
      </c>
      <c r="M13" s="275" t="s">
        <v>490</v>
      </c>
      <c r="N13" s="278"/>
      <c r="O13" s="276" t="s">
        <v>676</v>
      </c>
      <c r="P13" s="275" t="s">
        <v>485</v>
      </c>
      <c r="Q13" s="275" t="s">
        <v>486</v>
      </c>
      <c r="R13" s="275" t="s">
        <v>487</v>
      </c>
      <c r="S13" s="275" t="s">
        <v>488</v>
      </c>
      <c r="T13" s="275" t="s">
        <v>489</v>
      </c>
      <c r="U13" s="275" t="s">
        <v>490</v>
      </c>
      <c r="V13" s="278"/>
      <c r="W13" s="276" t="s">
        <v>676</v>
      </c>
      <c r="X13" s="275" t="s">
        <v>485</v>
      </c>
      <c r="Y13" s="275" t="s">
        <v>486</v>
      </c>
      <c r="Z13" s="275" t="s">
        <v>487</v>
      </c>
      <c r="AA13" s="275" t="s">
        <v>488</v>
      </c>
      <c r="AB13" s="275" t="s">
        <v>489</v>
      </c>
      <c r="AC13" s="275" t="s">
        <v>490</v>
      </c>
    </row>
    <row r="14" spans="1:29" ht="13.5">
      <c r="A14" s="36"/>
      <c r="B14" s="498"/>
      <c r="C14" s="498"/>
      <c r="D14" s="498"/>
      <c r="E14" s="466"/>
      <c r="G14" s="276"/>
      <c r="H14" s="275"/>
      <c r="I14" s="276"/>
      <c r="J14" s="276"/>
      <c r="K14" s="276"/>
      <c r="L14" s="275">
        <v>1</v>
      </c>
      <c r="M14" s="276">
        <v>2</v>
      </c>
      <c r="N14" s="278"/>
      <c r="O14" s="276">
        <v>1</v>
      </c>
      <c r="P14" s="275">
        <v>2</v>
      </c>
      <c r="Q14" s="276">
        <v>3</v>
      </c>
      <c r="R14" s="276">
        <v>4</v>
      </c>
      <c r="S14" s="276">
        <v>5</v>
      </c>
      <c r="T14" s="275">
        <v>6</v>
      </c>
      <c r="U14" s="276">
        <v>7</v>
      </c>
      <c r="V14" s="278"/>
      <c r="W14" s="276"/>
      <c r="X14" s="275"/>
      <c r="Y14" s="276"/>
      <c r="Z14" s="277">
        <v>1</v>
      </c>
      <c r="AA14" s="277">
        <v>2</v>
      </c>
      <c r="AB14" s="277">
        <v>3</v>
      </c>
      <c r="AC14" s="276">
        <v>4</v>
      </c>
    </row>
    <row r="15" spans="1:29" ht="13.5">
      <c r="A15" s="36"/>
      <c r="B15" s="498"/>
      <c r="C15" s="498"/>
      <c r="D15" s="498"/>
      <c r="E15" s="466"/>
      <c r="G15" s="276">
        <v>3</v>
      </c>
      <c r="H15" s="277">
        <v>4</v>
      </c>
      <c r="I15" s="277">
        <v>5</v>
      </c>
      <c r="J15" s="277">
        <v>6</v>
      </c>
      <c r="K15" s="277">
        <v>7</v>
      </c>
      <c r="L15" s="277">
        <v>8</v>
      </c>
      <c r="M15" s="276">
        <v>9</v>
      </c>
      <c r="N15" s="278"/>
      <c r="O15" s="276">
        <v>8</v>
      </c>
      <c r="P15" s="275">
        <v>9</v>
      </c>
      <c r="Q15" s="275">
        <v>10</v>
      </c>
      <c r="R15" s="275">
        <v>11</v>
      </c>
      <c r="S15" s="275">
        <v>12</v>
      </c>
      <c r="T15" s="275">
        <v>13</v>
      </c>
      <c r="U15" s="276">
        <v>14</v>
      </c>
      <c r="V15" s="278"/>
      <c r="W15" s="276">
        <v>5</v>
      </c>
      <c r="X15" s="277">
        <v>6</v>
      </c>
      <c r="Y15" s="277">
        <v>7</v>
      </c>
      <c r="Z15" s="277">
        <v>8</v>
      </c>
      <c r="AA15" s="277">
        <v>9</v>
      </c>
      <c r="AB15" s="277">
        <v>10</v>
      </c>
      <c r="AC15" s="276">
        <v>11</v>
      </c>
    </row>
    <row r="16" spans="1:29" ht="13.5">
      <c r="A16" s="66"/>
      <c r="B16" s="486" t="s">
        <v>474</v>
      </c>
      <c r="C16" s="509"/>
      <c r="D16" s="509"/>
      <c r="E16" s="509"/>
      <c r="G16" s="276">
        <v>10</v>
      </c>
      <c r="H16" s="277">
        <v>11</v>
      </c>
      <c r="I16" s="277">
        <v>12</v>
      </c>
      <c r="J16" s="277">
        <v>13</v>
      </c>
      <c r="K16" s="277">
        <v>14</v>
      </c>
      <c r="L16" s="277">
        <v>15</v>
      </c>
      <c r="M16" s="276">
        <v>16</v>
      </c>
      <c r="N16" s="278"/>
      <c r="O16" s="276">
        <v>15</v>
      </c>
      <c r="P16" s="275">
        <v>16</v>
      </c>
      <c r="Q16" s="275">
        <v>17</v>
      </c>
      <c r="R16" s="275">
        <v>18</v>
      </c>
      <c r="S16" s="275">
        <v>19</v>
      </c>
      <c r="T16" s="275">
        <v>20</v>
      </c>
      <c r="U16" s="276">
        <v>21</v>
      </c>
      <c r="V16" s="278"/>
      <c r="W16" s="276">
        <v>12</v>
      </c>
      <c r="X16" s="277">
        <v>13</v>
      </c>
      <c r="Y16" s="277">
        <v>14</v>
      </c>
      <c r="Z16" s="277">
        <v>15</v>
      </c>
      <c r="AA16" s="277">
        <v>16</v>
      </c>
      <c r="AB16" s="277">
        <v>17</v>
      </c>
      <c r="AC16" s="276">
        <v>18</v>
      </c>
    </row>
    <row r="17" spans="1:29" ht="16.5" customHeight="1">
      <c r="A17" s="7"/>
      <c r="B17" s="517" t="s">
        <v>473</v>
      </c>
      <c r="C17" s="518"/>
      <c r="D17" s="518"/>
      <c r="E17" s="518"/>
      <c r="G17" s="276">
        <v>17</v>
      </c>
      <c r="H17" s="276">
        <v>18</v>
      </c>
      <c r="I17" s="277">
        <v>19</v>
      </c>
      <c r="J17" s="277">
        <v>20</v>
      </c>
      <c r="K17" s="277">
        <v>21</v>
      </c>
      <c r="L17" s="277">
        <v>22</v>
      </c>
      <c r="M17" s="276">
        <v>23</v>
      </c>
      <c r="N17" s="278"/>
      <c r="O17" s="276">
        <v>22</v>
      </c>
      <c r="P17" s="275">
        <v>23</v>
      </c>
      <c r="Q17" s="275">
        <v>24</v>
      </c>
      <c r="R17" s="275">
        <v>25</v>
      </c>
      <c r="S17" s="275">
        <v>26</v>
      </c>
      <c r="T17" s="275">
        <v>27</v>
      </c>
      <c r="U17" s="276">
        <v>28</v>
      </c>
      <c r="V17" s="278"/>
      <c r="W17" s="276">
        <v>19</v>
      </c>
      <c r="X17" s="277">
        <v>20</v>
      </c>
      <c r="Y17" s="277">
        <v>21</v>
      </c>
      <c r="Z17" s="277">
        <v>22</v>
      </c>
      <c r="AA17" s="277">
        <v>23</v>
      </c>
      <c r="AB17" s="277">
        <v>24</v>
      </c>
      <c r="AC17" s="276">
        <v>25</v>
      </c>
    </row>
    <row r="18" spans="1:29" ht="16.5" customHeight="1">
      <c r="A18" s="7"/>
      <c r="B18" s="519"/>
      <c r="C18" s="518"/>
      <c r="D18" s="518"/>
      <c r="E18" s="518"/>
      <c r="G18" s="276">
        <v>24</v>
      </c>
      <c r="H18" s="277">
        <v>25</v>
      </c>
      <c r="I18" s="277">
        <v>26</v>
      </c>
      <c r="J18" s="277">
        <v>27</v>
      </c>
      <c r="K18" s="277">
        <v>28</v>
      </c>
      <c r="L18" s="276">
        <v>29</v>
      </c>
      <c r="M18" s="276">
        <v>30</v>
      </c>
      <c r="N18" s="278"/>
      <c r="O18" s="276">
        <v>29</v>
      </c>
      <c r="P18" s="275">
        <v>30</v>
      </c>
      <c r="Q18" s="275">
        <v>31</v>
      </c>
      <c r="R18" s="275"/>
      <c r="S18" s="275"/>
      <c r="T18" s="275"/>
      <c r="U18" s="275"/>
      <c r="V18" s="278"/>
      <c r="W18" s="276">
        <v>26</v>
      </c>
      <c r="X18" s="277">
        <v>27</v>
      </c>
      <c r="Y18" s="277">
        <v>28</v>
      </c>
      <c r="Z18" s="277">
        <v>29</v>
      </c>
      <c r="AA18" s="277">
        <v>30</v>
      </c>
      <c r="AB18" s="277"/>
      <c r="AC18" s="276"/>
    </row>
    <row r="19" spans="1:29" ht="16.5" customHeight="1">
      <c r="A19" s="7"/>
      <c r="B19" s="519"/>
      <c r="C19" s="518"/>
      <c r="D19" s="518"/>
      <c r="E19" s="518"/>
      <c r="G19" s="279"/>
      <c r="H19" s="280"/>
      <c r="I19" s="280"/>
      <c r="J19" s="280"/>
      <c r="K19" s="280"/>
      <c r="L19" s="280"/>
      <c r="M19" s="279"/>
      <c r="N19" s="223"/>
      <c r="O19" s="281"/>
      <c r="P19" s="281"/>
      <c r="Q19" s="281"/>
      <c r="R19" s="281"/>
      <c r="S19" s="281"/>
      <c r="T19" s="281"/>
      <c r="U19" s="281"/>
      <c r="V19" s="223"/>
      <c r="W19" s="281"/>
      <c r="X19" s="281"/>
      <c r="Y19" s="281"/>
      <c r="Z19" s="281"/>
      <c r="AA19" s="281"/>
      <c r="AB19" s="281"/>
      <c r="AC19" s="281"/>
    </row>
    <row r="20" spans="1:29" ht="16.5" customHeight="1">
      <c r="A20" s="7"/>
      <c r="B20" s="519"/>
      <c r="C20" s="518"/>
      <c r="D20" s="518"/>
      <c r="E20" s="518"/>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row>
    <row r="21" spans="1:29" ht="16.5" customHeight="1">
      <c r="A21" s="7"/>
      <c r="B21" s="519"/>
      <c r="C21" s="518"/>
      <c r="D21" s="518"/>
      <c r="E21" s="518"/>
      <c r="G21" s="282"/>
      <c r="H21" s="282"/>
      <c r="I21" s="282"/>
      <c r="J21" s="282"/>
      <c r="K21" s="282"/>
      <c r="L21" s="282"/>
      <c r="M21" s="282"/>
      <c r="N21" s="223"/>
      <c r="O21" s="282"/>
      <c r="P21" s="282"/>
      <c r="Q21" s="282"/>
      <c r="R21" s="282"/>
      <c r="S21" s="282"/>
      <c r="T21" s="282"/>
      <c r="U21" s="282"/>
      <c r="V21" s="223"/>
      <c r="W21" s="282"/>
      <c r="X21" s="282"/>
      <c r="Y21" s="282"/>
      <c r="Z21" s="282"/>
      <c r="AA21" s="282"/>
      <c r="AB21" s="282"/>
      <c r="AC21" s="282"/>
    </row>
    <row r="22" spans="1:29" ht="16.5" customHeight="1">
      <c r="A22" s="7"/>
      <c r="B22" s="519" t="s">
        <v>475</v>
      </c>
      <c r="C22" s="518"/>
      <c r="D22" s="518"/>
      <c r="E22" s="518"/>
      <c r="G22" s="283" t="s">
        <v>496</v>
      </c>
      <c r="H22" s="284"/>
      <c r="I22" s="284"/>
      <c r="J22" s="284"/>
      <c r="K22" s="284"/>
      <c r="L22" s="284"/>
      <c r="M22" s="285"/>
      <c r="N22" s="278"/>
      <c r="O22" s="283" t="s">
        <v>497</v>
      </c>
      <c r="P22" s="284"/>
      <c r="Q22" s="284"/>
      <c r="R22" s="284"/>
      <c r="S22" s="284"/>
      <c r="T22" s="284"/>
      <c r="U22" s="285"/>
      <c r="V22" s="278"/>
      <c r="W22" s="283" t="s">
        <v>498</v>
      </c>
      <c r="X22" s="284"/>
      <c r="Y22" s="284"/>
      <c r="Z22" s="284"/>
      <c r="AA22" s="284"/>
      <c r="AB22" s="284"/>
      <c r="AC22" s="285"/>
    </row>
    <row r="23" spans="1:29" ht="16.5" customHeight="1">
      <c r="A23" s="10"/>
      <c r="B23" s="17"/>
      <c r="C23" s="12"/>
      <c r="D23" s="11"/>
      <c r="E23" s="11"/>
      <c r="G23" s="276" t="s">
        <v>676</v>
      </c>
      <c r="H23" s="275" t="s">
        <v>485</v>
      </c>
      <c r="I23" s="275" t="s">
        <v>486</v>
      </c>
      <c r="J23" s="275" t="s">
        <v>487</v>
      </c>
      <c r="K23" s="275" t="s">
        <v>488</v>
      </c>
      <c r="L23" s="275" t="s">
        <v>489</v>
      </c>
      <c r="M23" s="275" t="s">
        <v>490</v>
      </c>
      <c r="N23" s="278"/>
      <c r="O23" s="276" t="s">
        <v>676</v>
      </c>
      <c r="P23" s="275" t="s">
        <v>485</v>
      </c>
      <c r="Q23" s="275" t="s">
        <v>486</v>
      </c>
      <c r="R23" s="275" t="s">
        <v>487</v>
      </c>
      <c r="S23" s="275" t="s">
        <v>488</v>
      </c>
      <c r="T23" s="275" t="s">
        <v>489</v>
      </c>
      <c r="U23" s="275" t="s">
        <v>490</v>
      </c>
      <c r="V23" s="278"/>
      <c r="W23" s="276" t="s">
        <v>676</v>
      </c>
      <c r="X23" s="275" t="s">
        <v>485</v>
      </c>
      <c r="Y23" s="275" t="s">
        <v>486</v>
      </c>
      <c r="Z23" s="275" t="s">
        <v>487</v>
      </c>
      <c r="AA23" s="275" t="s">
        <v>488</v>
      </c>
      <c r="AB23" s="275" t="s">
        <v>489</v>
      </c>
      <c r="AC23" s="275" t="s">
        <v>490</v>
      </c>
    </row>
    <row r="24" spans="1:29" ht="16.5" customHeight="1">
      <c r="A24" s="10"/>
      <c r="B24" s="130" t="s">
        <v>882</v>
      </c>
      <c r="C24" s="11"/>
      <c r="D24" s="11"/>
      <c r="E24" s="159"/>
      <c r="G24" s="276"/>
      <c r="H24" s="275"/>
      <c r="I24" s="276"/>
      <c r="J24" s="276"/>
      <c r="K24" s="276"/>
      <c r="L24" s="275">
        <v>1</v>
      </c>
      <c r="M24" s="276">
        <v>2</v>
      </c>
      <c r="N24" s="278"/>
      <c r="O24" s="276"/>
      <c r="P24" s="277">
        <v>1</v>
      </c>
      <c r="Q24" s="277">
        <v>2</v>
      </c>
      <c r="R24" s="277">
        <v>3</v>
      </c>
      <c r="S24" s="277">
        <v>4</v>
      </c>
      <c r="T24" s="277">
        <v>5</v>
      </c>
      <c r="U24" s="276">
        <v>6</v>
      </c>
      <c r="V24" s="278"/>
      <c r="W24" s="276"/>
      <c r="X24" s="275"/>
      <c r="Y24" s="276"/>
      <c r="Z24" s="277"/>
      <c r="AA24" s="277">
        <v>1</v>
      </c>
      <c r="AB24" s="277">
        <v>2</v>
      </c>
      <c r="AC24" s="276">
        <v>3</v>
      </c>
    </row>
    <row r="25" spans="1:29" ht="16.5" customHeight="1">
      <c r="A25" s="10"/>
      <c r="B25" s="514" t="s">
        <v>660</v>
      </c>
      <c r="C25" s="515"/>
      <c r="D25" s="150" t="s">
        <v>661</v>
      </c>
      <c r="E25" s="240" t="s">
        <v>353</v>
      </c>
      <c r="G25" s="276">
        <v>3</v>
      </c>
      <c r="H25" s="277">
        <v>4</v>
      </c>
      <c r="I25" s="277">
        <v>5</v>
      </c>
      <c r="J25" s="277">
        <v>6</v>
      </c>
      <c r="K25" s="277">
        <v>7</v>
      </c>
      <c r="L25" s="277">
        <v>8</v>
      </c>
      <c r="M25" s="276">
        <v>9</v>
      </c>
      <c r="N25" s="278"/>
      <c r="O25" s="276">
        <v>7</v>
      </c>
      <c r="P25" s="277">
        <v>8</v>
      </c>
      <c r="Q25" s="277">
        <v>9</v>
      </c>
      <c r="R25" s="277">
        <v>10</v>
      </c>
      <c r="S25" s="277">
        <v>11</v>
      </c>
      <c r="T25" s="277">
        <v>12</v>
      </c>
      <c r="U25" s="276">
        <v>13</v>
      </c>
      <c r="V25" s="278"/>
      <c r="W25" s="276">
        <v>4</v>
      </c>
      <c r="X25" s="277">
        <v>5</v>
      </c>
      <c r="Y25" s="277">
        <v>6</v>
      </c>
      <c r="Z25" s="277">
        <v>7</v>
      </c>
      <c r="AA25" s="277">
        <v>8</v>
      </c>
      <c r="AB25" s="277">
        <v>9</v>
      </c>
      <c r="AC25" s="276">
        <v>10</v>
      </c>
    </row>
    <row r="26" spans="1:29" ht="16.5" customHeight="1">
      <c r="A26" s="10"/>
      <c r="B26" s="429" t="s">
        <v>481</v>
      </c>
      <c r="C26" s="458"/>
      <c r="D26" s="153">
        <f>WORKDAY("2005/2/1",28)</f>
        <v>38422</v>
      </c>
      <c r="E26" s="241" t="s">
        <v>871</v>
      </c>
      <c r="G26" s="276">
        <v>10</v>
      </c>
      <c r="H26" s="277">
        <v>11</v>
      </c>
      <c r="I26" s="277">
        <v>12</v>
      </c>
      <c r="J26" s="277">
        <v>13</v>
      </c>
      <c r="K26" s="277">
        <v>14</v>
      </c>
      <c r="L26" s="277">
        <v>15</v>
      </c>
      <c r="M26" s="276">
        <v>16</v>
      </c>
      <c r="N26" s="278"/>
      <c r="O26" s="276">
        <v>14</v>
      </c>
      <c r="P26" s="277">
        <v>15</v>
      </c>
      <c r="Q26" s="277">
        <v>16</v>
      </c>
      <c r="R26" s="277">
        <v>17</v>
      </c>
      <c r="S26" s="277">
        <v>18</v>
      </c>
      <c r="T26" s="277">
        <v>19</v>
      </c>
      <c r="U26" s="276">
        <v>20</v>
      </c>
      <c r="V26" s="278"/>
      <c r="W26" s="276">
        <v>11</v>
      </c>
      <c r="X26" s="277">
        <v>12</v>
      </c>
      <c r="Y26" s="277">
        <v>13</v>
      </c>
      <c r="Z26" s="277">
        <v>14</v>
      </c>
      <c r="AA26" s="277">
        <v>15</v>
      </c>
      <c r="AB26" s="277">
        <v>16</v>
      </c>
      <c r="AC26" s="276">
        <v>17</v>
      </c>
    </row>
    <row r="27" spans="1:29" ht="16.5" customHeight="1">
      <c r="A27" s="10"/>
      <c r="B27" s="429" t="s">
        <v>481</v>
      </c>
      <c r="C27" s="458"/>
      <c r="D27" s="152">
        <f>WORKDAY("2005/2/1",28)</f>
        <v>38422</v>
      </c>
      <c r="E27" s="241" t="s">
        <v>387</v>
      </c>
      <c r="G27" s="276">
        <v>17</v>
      </c>
      <c r="H27" s="276">
        <v>18</v>
      </c>
      <c r="I27" s="277">
        <v>19</v>
      </c>
      <c r="J27" s="277">
        <v>20</v>
      </c>
      <c r="K27" s="277">
        <v>21</v>
      </c>
      <c r="L27" s="277">
        <v>22</v>
      </c>
      <c r="M27" s="276">
        <v>23</v>
      </c>
      <c r="N27" s="278"/>
      <c r="O27" s="276">
        <v>21</v>
      </c>
      <c r="P27" s="277">
        <v>22</v>
      </c>
      <c r="Q27" s="277">
        <v>23</v>
      </c>
      <c r="R27" s="277">
        <v>24</v>
      </c>
      <c r="S27" s="277">
        <v>25</v>
      </c>
      <c r="T27" s="277">
        <v>26</v>
      </c>
      <c r="U27" s="276">
        <v>27</v>
      </c>
      <c r="V27" s="278"/>
      <c r="W27" s="276">
        <v>18</v>
      </c>
      <c r="X27" s="276">
        <v>19</v>
      </c>
      <c r="Y27" s="277">
        <v>20</v>
      </c>
      <c r="Z27" s="277">
        <v>21</v>
      </c>
      <c r="AA27" s="277">
        <v>22</v>
      </c>
      <c r="AB27" s="276">
        <v>23</v>
      </c>
      <c r="AC27" s="276">
        <v>24</v>
      </c>
    </row>
    <row r="28" spans="1:29" ht="16.5" customHeight="1">
      <c r="A28" s="10"/>
      <c r="B28" s="529" t="s">
        <v>180</v>
      </c>
      <c r="C28" s="434"/>
      <c r="D28" s="434"/>
      <c r="E28" s="434"/>
      <c r="G28" s="276">
        <v>24</v>
      </c>
      <c r="H28" s="277">
        <v>25</v>
      </c>
      <c r="I28" s="277">
        <v>26</v>
      </c>
      <c r="J28" s="277">
        <v>27</v>
      </c>
      <c r="K28" s="277">
        <v>28</v>
      </c>
      <c r="L28" s="277">
        <v>29</v>
      </c>
      <c r="M28" s="276">
        <v>30</v>
      </c>
      <c r="N28" s="278"/>
      <c r="O28" s="276">
        <v>28</v>
      </c>
      <c r="P28" s="277">
        <v>29</v>
      </c>
      <c r="Q28" s="277">
        <v>30</v>
      </c>
      <c r="R28" s="277">
        <v>31</v>
      </c>
      <c r="S28" s="277"/>
      <c r="T28" s="277"/>
      <c r="U28" s="276"/>
      <c r="V28" s="278"/>
      <c r="W28" s="276">
        <v>25</v>
      </c>
      <c r="X28" s="277">
        <v>26</v>
      </c>
      <c r="Y28" s="277">
        <v>27</v>
      </c>
      <c r="Z28" s="277">
        <v>28</v>
      </c>
      <c r="AA28" s="277">
        <v>29</v>
      </c>
      <c r="AB28" s="277">
        <v>30</v>
      </c>
      <c r="AC28" s="276"/>
    </row>
    <row r="29" spans="1:29" ht="16.5" customHeight="1">
      <c r="A29" s="10"/>
      <c r="B29" s="159"/>
      <c r="C29" s="11"/>
      <c r="D29" s="11"/>
      <c r="E29" s="11"/>
      <c r="G29" s="276">
        <v>31</v>
      </c>
      <c r="H29" s="280"/>
      <c r="I29" s="280"/>
      <c r="J29" s="280"/>
      <c r="K29" s="280"/>
      <c r="L29" s="280"/>
      <c r="M29" s="279"/>
      <c r="N29" s="223"/>
      <c r="O29" s="281"/>
      <c r="P29" s="281"/>
      <c r="Q29" s="281"/>
      <c r="R29" s="281"/>
      <c r="S29" s="281"/>
      <c r="T29" s="281"/>
      <c r="U29" s="281"/>
      <c r="V29" s="223"/>
      <c r="W29" s="281"/>
      <c r="X29" s="281"/>
      <c r="Y29" s="281"/>
      <c r="Z29" s="281"/>
      <c r="AA29" s="281"/>
      <c r="AB29" s="281"/>
      <c r="AC29" s="281"/>
    </row>
    <row r="30" spans="1:29" ht="16.5" customHeight="1">
      <c r="A30" s="10"/>
      <c r="B30" s="429" t="s">
        <v>482</v>
      </c>
      <c r="C30" s="458"/>
      <c r="D30" s="152">
        <f>WORKDAY("2005/2/1",10)</f>
        <v>38398</v>
      </c>
      <c r="E30" s="241" t="s">
        <v>387</v>
      </c>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row>
    <row r="31" spans="1:29" ht="16.5" customHeight="1">
      <c r="A31" s="10"/>
      <c r="B31" s="429" t="s">
        <v>480</v>
      </c>
      <c r="C31" s="458"/>
      <c r="D31" s="152">
        <f>WORKDAY("2005/1/31",-10)</f>
        <v>38369</v>
      </c>
      <c r="E31" s="241" t="s">
        <v>421</v>
      </c>
      <c r="G31" s="283" t="s">
        <v>499</v>
      </c>
      <c r="H31" s="284"/>
      <c r="I31" s="284"/>
      <c r="J31" s="284"/>
      <c r="K31" s="284"/>
      <c r="L31" s="284"/>
      <c r="M31" s="285"/>
      <c r="N31" s="278"/>
      <c r="O31" s="283" t="s">
        <v>501</v>
      </c>
      <c r="P31" s="284"/>
      <c r="Q31" s="284"/>
      <c r="R31" s="284"/>
      <c r="S31" s="284"/>
      <c r="T31" s="284"/>
      <c r="U31" s="285"/>
      <c r="V31" s="278"/>
      <c r="W31" s="283" t="s">
        <v>500</v>
      </c>
      <c r="X31" s="284"/>
      <c r="Y31" s="284"/>
      <c r="Z31" s="284"/>
      <c r="AA31" s="284"/>
      <c r="AB31" s="284"/>
      <c r="AC31" s="285"/>
    </row>
    <row r="32" spans="1:29" ht="16.5" customHeight="1">
      <c r="A32" s="10"/>
      <c r="B32" s="429" t="s">
        <v>479</v>
      </c>
      <c r="C32" s="458"/>
      <c r="D32" s="152">
        <f>WORKDAY("2005/1/25",10.5)</f>
        <v>38391</v>
      </c>
      <c r="E32" s="264" t="s">
        <v>423</v>
      </c>
      <c r="G32" s="276" t="s">
        <v>676</v>
      </c>
      <c r="H32" s="275" t="s">
        <v>485</v>
      </c>
      <c r="I32" s="275" t="s">
        <v>486</v>
      </c>
      <c r="J32" s="275" t="s">
        <v>487</v>
      </c>
      <c r="K32" s="275" t="s">
        <v>488</v>
      </c>
      <c r="L32" s="275" t="s">
        <v>489</v>
      </c>
      <c r="M32" s="275" t="s">
        <v>490</v>
      </c>
      <c r="N32" s="278"/>
      <c r="O32" s="274" t="s">
        <v>676</v>
      </c>
      <c r="P32" s="275" t="s">
        <v>485</v>
      </c>
      <c r="Q32" s="275" t="s">
        <v>486</v>
      </c>
      <c r="R32" s="275" t="s">
        <v>487</v>
      </c>
      <c r="S32" s="275" t="s">
        <v>488</v>
      </c>
      <c r="T32" s="275" t="s">
        <v>489</v>
      </c>
      <c r="U32" s="276" t="s">
        <v>490</v>
      </c>
      <c r="V32" s="278"/>
      <c r="W32" s="276" t="s">
        <v>676</v>
      </c>
      <c r="X32" s="275" t="s">
        <v>485</v>
      </c>
      <c r="Y32" s="275" t="s">
        <v>486</v>
      </c>
      <c r="Z32" s="275" t="s">
        <v>487</v>
      </c>
      <c r="AA32" s="275" t="s">
        <v>488</v>
      </c>
      <c r="AB32" s="275" t="s">
        <v>489</v>
      </c>
      <c r="AC32" s="275" t="s">
        <v>490</v>
      </c>
    </row>
    <row r="33" spans="1:29" ht="16.5" customHeight="1">
      <c r="A33" s="10"/>
      <c r="B33" s="429" t="s">
        <v>476</v>
      </c>
      <c r="C33" s="458"/>
      <c r="D33" s="152" t="e">
        <f>WORKDAY("9999/12/31",1)</f>
        <v>#NUM!</v>
      </c>
      <c r="E33" s="264" t="s">
        <v>425</v>
      </c>
      <c r="G33" s="276"/>
      <c r="H33" s="275"/>
      <c r="I33" s="276"/>
      <c r="J33" s="276"/>
      <c r="K33" s="276"/>
      <c r="L33" s="275"/>
      <c r="M33" s="276">
        <v>1</v>
      </c>
      <c r="N33" s="278"/>
      <c r="O33" s="274"/>
      <c r="P33" s="275"/>
      <c r="Q33" s="275">
        <v>1</v>
      </c>
      <c r="R33" s="275">
        <v>2</v>
      </c>
      <c r="S33" s="276">
        <v>3</v>
      </c>
      <c r="T33" s="275">
        <v>4</v>
      </c>
      <c r="U33" s="276">
        <v>5</v>
      </c>
      <c r="V33" s="278"/>
      <c r="W33" s="276"/>
      <c r="X33" s="275"/>
      <c r="Y33" s="276"/>
      <c r="Z33" s="277"/>
      <c r="AA33" s="277">
        <v>1</v>
      </c>
      <c r="AB33" s="277">
        <v>2</v>
      </c>
      <c r="AC33" s="276">
        <v>3</v>
      </c>
    </row>
    <row r="34" spans="1:29" ht="16.5" customHeight="1">
      <c r="A34" s="10"/>
      <c r="B34" s="429" t="s">
        <v>477</v>
      </c>
      <c r="C34" s="458"/>
      <c r="D34" s="152" t="e">
        <f>WORKDAY("1999/-12/31",1)</f>
        <v>#VALUE!</v>
      </c>
      <c r="E34" s="264" t="s">
        <v>469</v>
      </c>
      <c r="G34" s="276">
        <v>2</v>
      </c>
      <c r="H34" s="277">
        <v>3</v>
      </c>
      <c r="I34" s="277">
        <v>4</v>
      </c>
      <c r="J34" s="277">
        <v>5</v>
      </c>
      <c r="K34" s="277">
        <v>6</v>
      </c>
      <c r="L34" s="277">
        <v>7</v>
      </c>
      <c r="M34" s="276">
        <v>8</v>
      </c>
      <c r="N34" s="278"/>
      <c r="O34" s="274">
        <v>6</v>
      </c>
      <c r="P34" s="275">
        <v>7</v>
      </c>
      <c r="Q34" s="275">
        <v>8</v>
      </c>
      <c r="R34" s="275">
        <v>9</v>
      </c>
      <c r="S34" s="275">
        <v>10</v>
      </c>
      <c r="T34" s="277">
        <v>11</v>
      </c>
      <c r="U34" s="276">
        <v>12</v>
      </c>
      <c r="V34" s="278"/>
      <c r="W34" s="276">
        <v>4</v>
      </c>
      <c r="X34" s="277">
        <v>5</v>
      </c>
      <c r="Y34" s="277">
        <v>6</v>
      </c>
      <c r="Z34" s="277">
        <v>7</v>
      </c>
      <c r="AA34" s="277">
        <v>8</v>
      </c>
      <c r="AB34" s="277">
        <v>9</v>
      </c>
      <c r="AC34" s="276">
        <v>10</v>
      </c>
    </row>
    <row r="35" spans="1:29" ht="16.5" customHeight="1">
      <c r="A35" s="10"/>
      <c r="B35" s="429" t="s">
        <v>478</v>
      </c>
      <c r="C35" s="458"/>
      <c r="D35" s="152" t="e">
        <f>WORKDAY("1899/12/31",1)</f>
        <v>#VALUE!</v>
      </c>
      <c r="E35" s="264" t="s">
        <v>427</v>
      </c>
      <c r="G35" s="276">
        <v>9</v>
      </c>
      <c r="H35" s="276">
        <v>10</v>
      </c>
      <c r="I35" s="277">
        <v>11</v>
      </c>
      <c r="J35" s="277">
        <v>12</v>
      </c>
      <c r="K35" s="277">
        <v>13</v>
      </c>
      <c r="L35" s="277">
        <v>14</v>
      </c>
      <c r="M35" s="276">
        <v>15</v>
      </c>
      <c r="N35" s="278"/>
      <c r="O35" s="274">
        <v>13</v>
      </c>
      <c r="P35" s="275">
        <v>14</v>
      </c>
      <c r="Q35" s="275">
        <v>15</v>
      </c>
      <c r="R35" s="275">
        <v>16</v>
      </c>
      <c r="S35" s="275">
        <v>17</v>
      </c>
      <c r="T35" s="275">
        <v>18</v>
      </c>
      <c r="U35" s="276">
        <v>19</v>
      </c>
      <c r="V35" s="278"/>
      <c r="W35" s="276">
        <v>11</v>
      </c>
      <c r="X35" s="277">
        <v>12</v>
      </c>
      <c r="Y35" s="277">
        <v>13</v>
      </c>
      <c r="Z35" s="277">
        <v>14</v>
      </c>
      <c r="AA35" s="277">
        <v>15</v>
      </c>
      <c r="AB35" s="277">
        <v>16</v>
      </c>
      <c r="AC35" s="276">
        <v>17</v>
      </c>
    </row>
    <row r="36" spans="1:29" ht="16.5" customHeight="1">
      <c r="A36" s="10"/>
      <c r="B36" s="11"/>
      <c r="C36" s="12"/>
      <c r="D36" s="11"/>
      <c r="E36" s="11"/>
      <c r="G36" s="276">
        <v>16</v>
      </c>
      <c r="H36" s="277">
        <v>17</v>
      </c>
      <c r="I36" s="277">
        <v>18</v>
      </c>
      <c r="J36" s="277">
        <v>19</v>
      </c>
      <c r="K36" s="277">
        <v>20</v>
      </c>
      <c r="L36" s="277">
        <v>21</v>
      </c>
      <c r="M36" s="276">
        <v>22</v>
      </c>
      <c r="N36" s="278"/>
      <c r="O36" s="274">
        <v>20</v>
      </c>
      <c r="P36" s="277">
        <v>21</v>
      </c>
      <c r="Q36" s="275">
        <v>22</v>
      </c>
      <c r="R36" s="276">
        <v>23</v>
      </c>
      <c r="S36" s="275">
        <v>24</v>
      </c>
      <c r="T36" s="275">
        <v>25</v>
      </c>
      <c r="U36" s="276">
        <v>26</v>
      </c>
      <c r="V36" s="278"/>
      <c r="W36" s="276">
        <v>18</v>
      </c>
      <c r="X36" s="277">
        <v>19</v>
      </c>
      <c r="Y36" s="277">
        <v>20</v>
      </c>
      <c r="Z36" s="277">
        <v>21</v>
      </c>
      <c r="AA36" s="277">
        <v>22</v>
      </c>
      <c r="AB36" s="276">
        <v>23</v>
      </c>
      <c r="AC36" s="276">
        <v>24</v>
      </c>
    </row>
    <row r="37" spans="2:29" ht="16.5" customHeight="1">
      <c r="B37" s="122"/>
      <c r="C37" s="10"/>
      <c r="G37" s="276">
        <v>23</v>
      </c>
      <c r="H37" s="277">
        <v>24</v>
      </c>
      <c r="I37" s="277">
        <v>25</v>
      </c>
      <c r="J37" s="277">
        <v>26</v>
      </c>
      <c r="K37" s="277">
        <v>27</v>
      </c>
      <c r="L37" s="277">
        <v>28</v>
      </c>
      <c r="M37" s="276">
        <v>29</v>
      </c>
      <c r="N37" s="278"/>
      <c r="O37" s="274">
        <v>27</v>
      </c>
      <c r="P37" s="275">
        <v>28</v>
      </c>
      <c r="Q37" s="275">
        <v>29</v>
      </c>
      <c r="R37" s="275">
        <v>30</v>
      </c>
      <c r="S37" s="275"/>
      <c r="T37" s="275"/>
      <c r="U37" s="275"/>
      <c r="V37" s="278"/>
      <c r="W37" s="276">
        <v>25</v>
      </c>
      <c r="X37" s="277">
        <v>26</v>
      </c>
      <c r="Y37" s="277">
        <v>27</v>
      </c>
      <c r="Z37" s="277">
        <v>28</v>
      </c>
      <c r="AA37" s="277">
        <v>29</v>
      </c>
      <c r="AB37" s="277">
        <v>30</v>
      </c>
      <c r="AC37" s="276">
        <v>31</v>
      </c>
    </row>
    <row r="38" spans="2:13" ht="16.5" customHeight="1">
      <c r="B38" s="514" t="s">
        <v>660</v>
      </c>
      <c r="C38" s="515"/>
      <c r="D38" s="150" t="s">
        <v>661</v>
      </c>
      <c r="E38" s="287" t="s">
        <v>483</v>
      </c>
      <c r="G38" s="276">
        <v>30</v>
      </c>
      <c r="H38" s="277">
        <v>31</v>
      </c>
      <c r="I38" s="237"/>
      <c r="J38" s="237"/>
      <c r="K38" s="237"/>
      <c r="L38" s="237"/>
      <c r="M38" s="272"/>
    </row>
    <row r="39" spans="2:5" ht="16.5" customHeight="1">
      <c r="B39" s="429" t="s">
        <v>484</v>
      </c>
      <c r="C39" s="458"/>
      <c r="D39" s="134">
        <f>WORKDAY("2005/5/1",10,E39:E40)</f>
        <v>38489</v>
      </c>
      <c r="E39" s="286">
        <v>38474</v>
      </c>
    </row>
    <row r="40" spans="2:5" ht="16.5" customHeight="1">
      <c r="B40" s="532" t="s">
        <v>503</v>
      </c>
      <c r="C40" s="532"/>
      <c r="D40" t="s">
        <v>504</v>
      </c>
      <c r="E40" s="286">
        <v>38478</v>
      </c>
    </row>
    <row r="41" spans="2:3" ht="16.5" customHeight="1">
      <c r="B41" s="10"/>
      <c r="C41" s="10"/>
    </row>
    <row r="42" spans="2:3" ht="16.5" customHeight="1">
      <c r="B42" s="16"/>
      <c r="C42" s="5"/>
    </row>
    <row r="43" spans="2:3" ht="16.5" customHeight="1">
      <c r="B43" s="16"/>
      <c r="C43" s="5"/>
    </row>
    <row r="44" spans="2:3" ht="16.5" customHeight="1">
      <c r="B44" s="16"/>
      <c r="C44" s="5"/>
    </row>
    <row r="50" ht="13.5">
      <c r="B50" s="236" t="s">
        <v>505</v>
      </c>
    </row>
    <row r="51" ht="13.5">
      <c r="B51" s="236" t="s">
        <v>181</v>
      </c>
    </row>
    <row r="52" ht="13.5">
      <c r="B52" s="236"/>
    </row>
    <row r="53" ht="13.5">
      <c r="B53" s="288">
        <v>38473</v>
      </c>
    </row>
    <row r="54" spans="2:5" ht="13.5">
      <c r="B54" s="169" t="s">
        <v>506</v>
      </c>
      <c r="C54" s="170"/>
      <c r="D54" s="134">
        <f>WORKDAY("2005/5/1",19)</f>
        <v>38498</v>
      </c>
      <c r="E54" s="178" t="s">
        <v>511</v>
      </c>
    </row>
    <row r="55" spans="2:5" ht="13.5">
      <c r="B55" s="5" t="s">
        <v>507</v>
      </c>
      <c r="E55" s="5"/>
    </row>
    <row r="56" spans="2:5" ht="13.5">
      <c r="B56" s="5"/>
      <c r="E56" s="5"/>
    </row>
    <row r="57" spans="2:5" ht="13.5">
      <c r="B57" s="289">
        <v>38384</v>
      </c>
      <c r="E57" s="5"/>
    </row>
    <row r="58" spans="2:5" ht="13.5">
      <c r="B58" s="169" t="s">
        <v>508</v>
      </c>
      <c r="C58" s="170"/>
      <c r="D58" s="134">
        <f>WORKDAY("2005/2/1",19)</f>
        <v>38411</v>
      </c>
      <c r="E58" s="178" t="s">
        <v>509</v>
      </c>
    </row>
    <row r="59" spans="2:5" ht="13.5">
      <c r="B59" t="s">
        <v>182</v>
      </c>
      <c r="E59" s="5"/>
    </row>
    <row r="60" ht="13.5">
      <c r="E60" s="5"/>
    </row>
    <row r="70" spans="2:5" ht="13.5">
      <c r="B70" s="289">
        <v>38353</v>
      </c>
      <c r="E70" s="5"/>
    </row>
    <row r="71" spans="2:5" ht="13.5">
      <c r="B71" s="169" t="s">
        <v>510</v>
      </c>
      <c r="C71" s="170"/>
      <c r="D71" s="134">
        <f>WORKDAY("2005/1/1",20)</f>
        <v>38380</v>
      </c>
      <c r="E71" s="178" t="s">
        <v>512</v>
      </c>
    </row>
    <row r="72" ht="13.5">
      <c r="B72" t="s">
        <v>183</v>
      </c>
    </row>
    <row r="73" spans="2:5" ht="13.5">
      <c r="B73" s="289">
        <v>38412</v>
      </c>
      <c r="E73" s="5"/>
    </row>
    <row r="74" spans="2:5" ht="13.5">
      <c r="B74" s="169" t="s">
        <v>513</v>
      </c>
      <c r="C74" s="170"/>
      <c r="D74" s="134">
        <f>WORKDAY("2005/3/1",22)</f>
        <v>38442</v>
      </c>
      <c r="E74" s="178" t="s">
        <v>509</v>
      </c>
    </row>
    <row r="75" ht="13.5">
      <c r="B75" t="s">
        <v>184</v>
      </c>
    </row>
    <row r="85" spans="2:5" ht="13.5">
      <c r="B85" s="289">
        <v>38443</v>
      </c>
      <c r="E85" s="5"/>
    </row>
    <row r="86" spans="2:5" ht="13.5">
      <c r="B86" s="169" t="s">
        <v>514</v>
      </c>
      <c r="C86" s="170"/>
      <c r="D86" s="134">
        <f>WORKDAY("2005/4/1",19)</f>
        <v>38470</v>
      </c>
      <c r="E86" s="178" t="s">
        <v>509</v>
      </c>
    </row>
    <row r="87" spans="2:5" ht="13.5">
      <c r="B87" s="462" t="s">
        <v>185</v>
      </c>
      <c r="C87" s="462"/>
      <c r="D87" s="462"/>
      <c r="E87" s="462"/>
    </row>
    <row r="88" spans="2:5" ht="13.5">
      <c r="B88" s="289">
        <v>38504</v>
      </c>
      <c r="E88" s="5"/>
    </row>
    <row r="89" spans="2:5" ht="13.5">
      <c r="B89" s="169" t="s">
        <v>515</v>
      </c>
      <c r="C89" s="170"/>
      <c r="D89" s="134">
        <f>WORKDAY("2005/6/1",22)</f>
        <v>38534</v>
      </c>
      <c r="E89" s="178" t="s">
        <v>516</v>
      </c>
    </row>
    <row r="90" ht="13.5">
      <c r="B90" t="s">
        <v>186</v>
      </c>
    </row>
    <row r="102" spans="2:5" ht="13.5">
      <c r="B102" s="289">
        <v>38534</v>
      </c>
      <c r="E102" s="5"/>
    </row>
    <row r="103" spans="2:5" ht="13.5">
      <c r="B103" s="169" t="s">
        <v>517</v>
      </c>
      <c r="C103" s="170"/>
      <c r="D103" s="134">
        <f>WORKDAY("2005/7/1",20)</f>
        <v>38562</v>
      </c>
      <c r="E103" s="178" t="s">
        <v>509</v>
      </c>
    </row>
    <row r="104" ht="13.5">
      <c r="B104" t="s">
        <v>187</v>
      </c>
    </row>
    <row r="105" spans="2:5" ht="13.5">
      <c r="B105" s="289">
        <v>38565</v>
      </c>
      <c r="E105" s="5"/>
    </row>
    <row r="106" spans="2:5" ht="13.5">
      <c r="B106" s="169" t="s">
        <v>518</v>
      </c>
      <c r="C106" s="170"/>
      <c r="D106" s="134">
        <f>WORKDAY("2005/8/1",23)</f>
        <v>38596</v>
      </c>
      <c r="E106" s="178" t="s">
        <v>519</v>
      </c>
    </row>
    <row r="107" ht="13.5">
      <c r="B107" t="s">
        <v>188</v>
      </c>
    </row>
    <row r="119" spans="2:5" ht="13.5">
      <c r="B119" s="289">
        <v>38596</v>
      </c>
      <c r="E119" s="5"/>
    </row>
    <row r="120" spans="2:5" ht="13.5">
      <c r="B120" s="169" t="s">
        <v>520</v>
      </c>
      <c r="C120" s="170"/>
      <c r="D120" s="134">
        <f>WORKDAY("2005/9/1",20)</f>
        <v>38624</v>
      </c>
      <c r="E120" s="178" t="s">
        <v>521</v>
      </c>
    </row>
    <row r="122" spans="2:5" ht="13.5">
      <c r="B122" s="289">
        <v>38626</v>
      </c>
      <c r="E122" s="5"/>
    </row>
    <row r="123" spans="2:5" ht="13.5">
      <c r="B123" s="169" t="s">
        <v>522</v>
      </c>
      <c r="C123" s="170"/>
      <c r="D123" s="134">
        <f>WORKDAY("2005/10/1",20)</f>
        <v>38653</v>
      </c>
      <c r="E123" s="178" t="s">
        <v>523</v>
      </c>
    </row>
    <row r="136" spans="2:5" ht="13.5">
      <c r="B136" s="289">
        <v>38657</v>
      </c>
      <c r="E136" s="5"/>
    </row>
    <row r="137" spans="2:5" ht="13.5">
      <c r="B137" s="169" t="s">
        <v>524</v>
      </c>
      <c r="C137" s="170"/>
      <c r="D137" s="134">
        <f>WORKDAY("2005/11/1",20)</f>
        <v>38685</v>
      </c>
      <c r="E137" s="178" t="s">
        <v>525</v>
      </c>
    </row>
    <row r="139" spans="2:5" ht="13.5">
      <c r="B139" s="289">
        <v>38687</v>
      </c>
      <c r="E139" s="5"/>
    </row>
    <row r="140" spans="2:5" ht="13.5">
      <c r="B140" s="169" t="s">
        <v>526</v>
      </c>
      <c r="C140" s="170"/>
      <c r="D140" s="134">
        <f>WORKDAY("2005/12/1",21)</f>
        <v>38716</v>
      </c>
      <c r="E140" s="178" t="s">
        <v>509</v>
      </c>
    </row>
    <row r="143" ht="13.5">
      <c r="B143" t="s">
        <v>531</v>
      </c>
    </row>
    <row r="144" spans="2:5" ht="13.5">
      <c r="B144" s="462" t="s">
        <v>532</v>
      </c>
      <c r="C144" s="462"/>
      <c r="D144" s="462"/>
      <c r="E144" s="462"/>
    </row>
    <row r="145" ht="13.5">
      <c r="B145" s="2" t="s">
        <v>530</v>
      </c>
    </row>
    <row r="147" ht="13.5">
      <c r="B147" s="83" t="s">
        <v>201</v>
      </c>
    </row>
    <row r="148" spans="2:5" ht="13.5">
      <c r="B148" s="169" t="s">
        <v>202</v>
      </c>
      <c r="C148" s="170"/>
      <c r="D148" s="134">
        <f>WORKDAY("2005/1/1",120,C152:E163)</f>
        <v>38531</v>
      </c>
      <c r="E148" s="182" t="s">
        <v>207</v>
      </c>
    </row>
    <row r="149" spans="2:5" ht="13.5">
      <c r="B149" s="531" t="s">
        <v>208</v>
      </c>
      <c r="C149" s="462"/>
      <c r="D149" s="134">
        <f>WORKDAY(WORKDAY("2005/1/1",120,C152:E163),-10)</f>
        <v>38517</v>
      </c>
      <c r="E149" s="178"/>
    </row>
    <row r="151" ht="13.5">
      <c r="B151" s="272" t="s">
        <v>483</v>
      </c>
    </row>
    <row r="152" spans="2:5" ht="13.5">
      <c r="B152" s="318" t="s">
        <v>493</v>
      </c>
      <c r="C152" s="316">
        <v>38353</v>
      </c>
      <c r="D152" s="316">
        <v>38362</v>
      </c>
      <c r="E152" s="317"/>
    </row>
    <row r="153" spans="2:5" ht="13.5">
      <c r="B153" s="318" t="s">
        <v>190</v>
      </c>
      <c r="C153" s="316">
        <v>38394</v>
      </c>
      <c r="D153" s="317"/>
      <c r="E153" s="317"/>
    </row>
    <row r="154" spans="2:5" ht="13.5">
      <c r="B154" s="318" t="s">
        <v>191</v>
      </c>
      <c r="C154" s="316">
        <v>38432</v>
      </c>
      <c r="D154" s="317"/>
      <c r="E154" s="317"/>
    </row>
    <row r="155" spans="2:5" ht="13.5">
      <c r="B155" s="318" t="s">
        <v>192</v>
      </c>
      <c r="C155" s="316">
        <v>38471</v>
      </c>
      <c r="D155" s="317"/>
      <c r="E155" s="317"/>
    </row>
    <row r="156" spans="2:5" ht="13.5">
      <c r="B156" s="318" t="s">
        <v>193</v>
      </c>
      <c r="C156" s="316">
        <v>38475</v>
      </c>
      <c r="D156" s="316">
        <v>38476</v>
      </c>
      <c r="E156" s="316">
        <v>38477</v>
      </c>
    </row>
    <row r="157" spans="2:5" ht="13.5">
      <c r="B157" s="318" t="s">
        <v>194</v>
      </c>
      <c r="C157" s="317"/>
      <c r="D157" s="317"/>
      <c r="E157" s="317"/>
    </row>
    <row r="158" spans="2:5" ht="13.5">
      <c r="B158" s="318" t="s">
        <v>195</v>
      </c>
      <c r="C158" s="316">
        <v>38551</v>
      </c>
      <c r="D158" s="317"/>
      <c r="E158" s="317"/>
    </row>
    <row r="159" spans="2:5" ht="13.5">
      <c r="B159" s="318" t="s">
        <v>196</v>
      </c>
      <c r="C159" s="317"/>
      <c r="D159" s="317"/>
      <c r="E159" s="317"/>
    </row>
    <row r="160" spans="2:5" ht="13.5">
      <c r="B160" s="318" t="s">
        <v>197</v>
      </c>
      <c r="C160" s="316">
        <v>38614</v>
      </c>
      <c r="D160" s="316">
        <v>38618</v>
      </c>
      <c r="E160" s="317"/>
    </row>
    <row r="161" spans="2:5" ht="13.5">
      <c r="B161" s="318" t="s">
        <v>198</v>
      </c>
      <c r="C161" s="316">
        <v>38635</v>
      </c>
      <c r="D161" s="317"/>
      <c r="E161" s="317"/>
    </row>
    <row r="162" spans="2:5" ht="13.5">
      <c r="B162" s="318" t="s">
        <v>199</v>
      </c>
      <c r="C162" s="316">
        <v>38659</v>
      </c>
      <c r="D162" s="316">
        <v>38679</v>
      </c>
      <c r="E162" s="317"/>
    </row>
    <row r="163" spans="2:5" ht="13.5">
      <c r="B163" s="318" t="s">
        <v>200</v>
      </c>
      <c r="C163" s="316">
        <v>38709</v>
      </c>
      <c r="D163" s="317"/>
      <c r="E163" s="317"/>
    </row>
  </sheetData>
  <mergeCells count="23">
    <mergeCell ref="B87:E87"/>
    <mergeCell ref="B144:E144"/>
    <mergeCell ref="B22:E22"/>
    <mergeCell ref="B25:C25"/>
    <mergeCell ref="B26:C26"/>
    <mergeCell ref="B27:C27"/>
    <mergeCell ref="B28:E28"/>
    <mergeCell ref="B149:C149"/>
    <mergeCell ref="B38:C38"/>
    <mergeCell ref="B30:C30"/>
    <mergeCell ref="B31:C31"/>
    <mergeCell ref="B32:C32"/>
    <mergeCell ref="B33:C33"/>
    <mergeCell ref="B40:C40"/>
    <mergeCell ref="B34:C34"/>
    <mergeCell ref="B35:C35"/>
    <mergeCell ref="B39:C39"/>
    <mergeCell ref="B9:E9"/>
    <mergeCell ref="B11:E12"/>
    <mergeCell ref="B3:E7"/>
    <mergeCell ref="B17:E21"/>
    <mergeCell ref="B16:E16"/>
    <mergeCell ref="B13:E15"/>
  </mergeCells>
  <hyperlinks>
    <hyperlink ref="B145" r:id="rId1" display="http://www.microsoft.com/japan/users/office_expert/200304/03.asp"/>
  </hyperlinks>
  <printOptions/>
  <pageMargins left="0.7874015748031497" right="0.7874015748031497" top="0.984251968503937" bottom="0.984251968503937" header="0.5118110236220472" footer="0.5118110236220472"/>
  <pageSetup cellComments="asDisplayed" orientation="portrait" paperSize="9" r:id="rId4"/>
  <headerFooter alignWithMargins="0">
    <oddHeader>&amp;L&amp;"Century,斜体"&amp;10SystemKOMACO&amp;RExcel：&amp;A</oddHeader>
    <oddFooter>&amp;L2005/2&amp;C&amp;P/&amp;N</oddFooter>
  </headerFooter>
  <ignoredErrors>
    <ignoredError sqref="D33:D35" evalError="1"/>
  </ignoredErrors>
  <drawing r:id="rId3"/>
  <legacyDrawing r:id="rId2"/>
</worksheet>
</file>

<file path=xl/worksheets/sheet23.xml><?xml version="1.0" encoding="utf-8"?>
<worksheet xmlns="http://schemas.openxmlformats.org/spreadsheetml/2006/main" xmlns:r="http://schemas.openxmlformats.org/officeDocument/2006/relationships">
  <sheetPr codeName="Sheet23"/>
  <dimension ref="A1:AC78"/>
  <sheetViews>
    <sheetView workbookViewId="0" topLeftCell="A34">
      <selection activeCell="B1" sqref="B1"/>
    </sheetView>
  </sheetViews>
  <sheetFormatPr defaultColWidth="9.00390625" defaultRowHeight="13.5"/>
  <cols>
    <col min="2" max="3" width="19.625" style="0" customWidth="1"/>
    <col min="4" max="5" width="19.375" style="0" customWidth="1"/>
    <col min="6" max="6" width="3.625" style="0" customWidth="1"/>
    <col min="7" max="13" width="3.50390625" style="0" customWidth="1"/>
    <col min="14" max="14" width="2.00390625" style="0" customWidth="1"/>
    <col min="15" max="21" width="3.50390625" style="0" customWidth="1"/>
    <col min="22" max="22" width="2.00390625" style="0" customWidth="1"/>
    <col min="23" max="29" width="3.50390625" style="0" customWidth="1"/>
  </cols>
  <sheetData>
    <row r="1" ht="31.5" customHeight="1">
      <c r="B1" s="1" t="s">
        <v>408</v>
      </c>
    </row>
    <row r="2" spans="7:29" ht="13.5">
      <c r="G2" s="283" t="s">
        <v>493</v>
      </c>
      <c r="H2" s="284"/>
      <c r="I2" s="284"/>
      <c r="J2" s="284"/>
      <c r="K2" s="284"/>
      <c r="L2" s="284"/>
      <c r="M2" s="285"/>
      <c r="N2" s="278"/>
      <c r="O2" s="283" t="s">
        <v>492</v>
      </c>
      <c r="P2" s="284"/>
      <c r="Q2" s="284"/>
      <c r="R2" s="284"/>
      <c r="S2" s="284"/>
      <c r="T2" s="284"/>
      <c r="U2" s="285"/>
      <c r="V2" s="278"/>
      <c r="W2" s="283" t="s">
        <v>494</v>
      </c>
      <c r="X2" s="284"/>
      <c r="Y2" s="284"/>
      <c r="Z2" s="284"/>
      <c r="AA2" s="284"/>
      <c r="AB2" s="284"/>
      <c r="AC2" s="285"/>
    </row>
    <row r="3" spans="1:29" ht="13.5">
      <c r="A3" s="40" t="s">
        <v>652</v>
      </c>
      <c r="B3" s="502" t="s">
        <v>364</v>
      </c>
      <c r="C3" s="503"/>
      <c r="D3" s="503"/>
      <c r="E3" s="503"/>
      <c r="G3" s="274" t="s">
        <v>676</v>
      </c>
      <c r="H3" s="275" t="s">
        <v>485</v>
      </c>
      <c r="I3" s="275" t="s">
        <v>486</v>
      </c>
      <c r="J3" s="275" t="s">
        <v>487</v>
      </c>
      <c r="K3" s="275" t="s">
        <v>488</v>
      </c>
      <c r="L3" s="275" t="s">
        <v>489</v>
      </c>
      <c r="M3" s="276" t="s">
        <v>490</v>
      </c>
      <c r="N3" s="278"/>
      <c r="O3" s="274" t="s">
        <v>676</v>
      </c>
      <c r="P3" s="275" t="s">
        <v>485</v>
      </c>
      <c r="Q3" s="275" t="s">
        <v>486</v>
      </c>
      <c r="R3" s="275" t="s">
        <v>487</v>
      </c>
      <c r="S3" s="275" t="s">
        <v>488</v>
      </c>
      <c r="T3" s="275" t="s">
        <v>489</v>
      </c>
      <c r="U3" s="276" t="s">
        <v>490</v>
      </c>
      <c r="V3" s="278"/>
      <c r="W3" s="274" t="s">
        <v>676</v>
      </c>
      <c r="X3" s="275" t="s">
        <v>485</v>
      </c>
      <c r="Y3" s="275" t="s">
        <v>486</v>
      </c>
      <c r="Z3" s="275" t="s">
        <v>487</v>
      </c>
      <c r="AA3" s="275" t="s">
        <v>488</v>
      </c>
      <c r="AB3" s="275" t="s">
        <v>489</v>
      </c>
      <c r="AC3" s="276" t="s">
        <v>490</v>
      </c>
    </row>
    <row r="4" spans="1:29" ht="13.5">
      <c r="A4" s="41"/>
      <c r="B4" s="516"/>
      <c r="C4" s="455"/>
      <c r="D4" s="455"/>
      <c r="E4" s="455"/>
      <c r="G4" s="275"/>
      <c r="H4" s="275"/>
      <c r="I4" s="275"/>
      <c r="J4" s="275"/>
      <c r="K4" s="275"/>
      <c r="L4" s="275"/>
      <c r="M4" s="276">
        <v>1</v>
      </c>
      <c r="N4" s="278"/>
      <c r="O4" s="274"/>
      <c r="P4" s="275"/>
      <c r="Q4" s="275">
        <v>1</v>
      </c>
      <c r="R4" s="275">
        <v>2</v>
      </c>
      <c r="S4" s="275">
        <v>3</v>
      </c>
      <c r="T4" s="275">
        <v>4</v>
      </c>
      <c r="U4" s="276">
        <v>5</v>
      </c>
      <c r="V4" s="278"/>
      <c r="W4" s="274"/>
      <c r="X4" s="275"/>
      <c r="Y4" s="275">
        <v>1</v>
      </c>
      <c r="Z4" s="275">
        <v>2</v>
      </c>
      <c r="AA4" s="275">
        <v>3</v>
      </c>
      <c r="AB4" s="275">
        <v>4</v>
      </c>
      <c r="AC4" s="276">
        <v>5</v>
      </c>
    </row>
    <row r="5" spans="1:29" ht="13.5">
      <c r="A5" s="41"/>
      <c r="B5" s="516"/>
      <c r="C5" s="455"/>
      <c r="D5" s="455"/>
      <c r="E5" s="455"/>
      <c r="G5" s="276">
        <v>2</v>
      </c>
      <c r="H5" s="275">
        <v>3</v>
      </c>
      <c r="I5" s="275">
        <v>4</v>
      </c>
      <c r="J5" s="275">
        <v>5</v>
      </c>
      <c r="K5" s="275">
        <v>6</v>
      </c>
      <c r="L5" s="275">
        <v>7</v>
      </c>
      <c r="M5" s="276">
        <v>8</v>
      </c>
      <c r="N5" s="278"/>
      <c r="O5" s="274">
        <v>6</v>
      </c>
      <c r="P5" s="275">
        <v>7</v>
      </c>
      <c r="Q5" s="275">
        <v>8</v>
      </c>
      <c r="R5" s="275">
        <v>9</v>
      </c>
      <c r="S5" s="275">
        <v>10</v>
      </c>
      <c r="T5" s="276">
        <v>11</v>
      </c>
      <c r="U5" s="276">
        <v>12</v>
      </c>
      <c r="V5" s="278"/>
      <c r="W5" s="274">
        <v>6</v>
      </c>
      <c r="X5" s="275">
        <v>7</v>
      </c>
      <c r="Y5" s="275">
        <v>8</v>
      </c>
      <c r="Z5" s="275">
        <v>9</v>
      </c>
      <c r="AA5" s="275">
        <v>10</v>
      </c>
      <c r="AB5" s="277">
        <v>11</v>
      </c>
      <c r="AC5" s="276">
        <v>12</v>
      </c>
    </row>
    <row r="6" spans="1:29" ht="13.5">
      <c r="A6" s="41"/>
      <c r="B6" s="516"/>
      <c r="C6" s="455"/>
      <c r="D6" s="455"/>
      <c r="E6" s="455"/>
      <c r="G6" s="276">
        <v>9</v>
      </c>
      <c r="H6" s="276">
        <v>10</v>
      </c>
      <c r="I6" s="275">
        <v>11</v>
      </c>
      <c r="J6" s="275">
        <v>12</v>
      </c>
      <c r="K6" s="275">
        <v>13</v>
      </c>
      <c r="L6" s="275">
        <v>14</v>
      </c>
      <c r="M6" s="276">
        <v>15</v>
      </c>
      <c r="N6" s="278"/>
      <c r="O6" s="274">
        <v>13</v>
      </c>
      <c r="P6" s="275">
        <v>14</v>
      </c>
      <c r="Q6" s="275">
        <v>15</v>
      </c>
      <c r="R6" s="275">
        <v>16</v>
      </c>
      <c r="S6" s="275">
        <v>17</v>
      </c>
      <c r="T6" s="275">
        <v>18</v>
      </c>
      <c r="U6" s="276">
        <v>19</v>
      </c>
      <c r="V6" s="278"/>
      <c r="W6" s="274">
        <v>13</v>
      </c>
      <c r="X6" s="275">
        <v>14</v>
      </c>
      <c r="Y6" s="275">
        <v>15</v>
      </c>
      <c r="Z6" s="275">
        <v>16</v>
      </c>
      <c r="AA6" s="275">
        <v>17</v>
      </c>
      <c r="AB6" s="275">
        <v>18</v>
      </c>
      <c r="AC6" s="276">
        <v>19</v>
      </c>
    </row>
    <row r="7" spans="1:29" ht="13.5">
      <c r="A7" s="41"/>
      <c r="B7" s="516"/>
      <c r="C7" s="455"/>
      <c r="D7" s="455"/>
      <c r="E7" s="455"/>
      <c r="G7" s="276">
        <v>16</v>
      </c>
      <c r="H7" s="275">
        <v>17</v>
      </c>
      <c r="I7" s="275">
        <v>18</v>
      </c>
      <c r="J7" s="275">
        <v>19</v>
      </c>
      <c r="K7" s="275">
        <v>20</v>
      </c>
      <c r="L7" s="275">
        <v>21</v>
      </c>
      <c r="M7" s="276">
        <v>22</v>
      </c>
      <c r="N7" s="278"/>
      <c r="O7" s="274">
        <v>20</v>
      </c>
      <c r="P7" s="275">
        <v>21</v>
      </c>
      <c r="Q7" s="275">
        <v>22</v>
      </c>
      <c r="R7" s="275">
        <v>23</v>
      </c>
      <c r="S7" s="275">
        <v>24</v>
      </c>
      <c r="T7" s="275">
        <v>25</v>
      </c>
      <c r="U7" s="276">
        <v>26</v>
      </c>
      <c r="V7" s="278"/>
      <c r="W7" s="274">
        <v>20</v>
      </c>
      <c r="X7" s="276">
        <v>21</v>
      </c>
      <c r="Y7" s="275">
        <v>22</v>
      </c>
      <c r="Z7" s="275">
        <v>23</v>
      </c>
      <c r="AA7" s="275">
        <v>24</v>
      </c>
      <c r="AB7" s="275">
        <v>25</v>
      </c>
      <c r="AC7" s="276">
        <v>26</v>
      </c>
    </row>
    <row r="8" spans="2:29" ht="13.5">
      <c r="B8" s="4"/>
      <c r="C8" s="4"/>
      <c r="D8" s="4"/>
      <c r="E8" s="4"/>
      <c r="G8" s="276">
        <v>23</v>
      </c>
      <c r="H8" s="275">
        <v>24</v>
      </c>
      <c r="I8" s="275">
        <v>25</v>
      </c>
      <c r="J8" s="275">
        <v>26</v>
      </c>
      <c r="K8" s="275">
        <v>27</v>
      </c>
      <c r="L8" s="275">
        <v>28</v>
      </c>
      <c r="M8" s="276">
        <v>29</v>
      </c>
      <c r="N8" s="278"/>
      <c r="O8" s="274">
        <v>27</v>
      </c>
      <c r="P8" s="275">
        <v>28</v>
      </c>
      <c r="Q8" s="275"/>
      <c r="R8" s="275"/>
      <c r="S8" s="275"/>
      <c r="T8" s="275"/>
      <c r="U8" s="275"/>
      <c r="V8" s="278"/>
      <c r="W8" s="274">
        <v>27</v>
      </c>
      <c r="X8" s="275">
        <v>28</v>
      </c>
      <c r="Y8" s="275">
        <v>29</v>
      </c>
      <c r="Z8" s="275">
        <v>30</v>
      </c>
      <c r="AA8" s="275">
        <v>31</v>
      </c>
      <c r="AB8" s="275"/>
      <c r="AC8" s="275"/>
    </row>
    <row r="9" spans="1:29" ht="13.5">
      <c r="A9" s="42" t="s">
        <v>631</v>
      </c>
      <c r="B9" s="472" t="s">
        <v>125</v>
      </c>
      <c r="C9" s="473"/>
      <c r="D9" s="473"/>
      <c r="E9" s="474"/>
      <c r="G9" s="276">
        <v>30</v>
      </c>
      <c r="H9" s="275">
        <v>31</v>
      </c>
      <c r="I9" s="275"/>
      <c r="J9" s="275"/>
      <c r="K9" s="275"/>
      <c r="L9" s="275"/>
      <c r="M9" s="275"/>
      <c r="N9" s="278"/>
      <c r="O9" s="273"/>
      <c r="P9" s="273"/>
      <c r="Q9" s="273"/>
      <c r="R9" s="273"/>
      <c r="S9" s="273"/>
      <c r="T9" s="273"/>
      <c r="U9" s="273"/>
      <c r="V9" s="278"/>
      <c r="W9" s="273"/>
      <c r="X9" s="273"/>
      <c r="Y9" s="273"/>
      <c r="Z9" s="273"/>
      <c r="AA9" s="273"/>
      <c r="AB9" s="273"/>
      <c r="AC9" s="273"/>
    </row>
    <row r="10" spans="7:29" ht="13.5">
      <c r="G10" s="281"/>
      <c r="H10" s="281"/>
      <c r="I10" s="281"/>
      <c r="J10" s="281"/>
      <c r="K10" s="281"/>
      <c r="L10" s="281"/>
      <c r="M10" s="281"/>
      <c r="N10" s="223"/>
      <c r="O10" s="281"/>
      <c r="P10" s="281"/>
      <c r="Q10" s="281"/>
      <c r="R10" s="281"/>
      <c r="S10" s="281"/>
      <c r="T10" s="281"/>
      <c r="U10" s="281"/>
      <c r="V10" s="223"/>
      <c r="W10" s="281"/>
      <c r="X10" s="281"/>
      <c r="Y10" s="281"/>
      <c r="Z10" s="281"/>
      <c r="AA10" s="281"/>
      <c r="AB10" s="281"/>
      <c r="AC10" s="281"/>
    </row>
    <row r="11" spans="1:29" ht="13.5">
      <c r="A11" s="35" t="s">
        <v>655</v>
      </c>
      <c r="B11" s="526" t="s">
        <v>367</v>
      </c>
      <c r="C11" s="455"/>
      <c r="D11" s="455"/>
      <c r="E11" s="455"/>
      <c r="G11" s="282"/>
      <c r="H11" s="282"/>
      <c r="I11" s="282"/>
      <c r="J11" s="282"/>
      <c r="K11" s="282"/>
      <c r="L11" s="282"/>
      <c r="M11" s="282"/>
      <c r="N11" s="223"/>
      <c r="O11" s="282"/>
      <c r="P11" s="282"/>
      <c r="Q11" s="282"/>
      <c r="R11" s="282"/>
      <c r="S11" s="282"/>
      <c r="T11" s="282"/>
      <c r="U11" s="282"/>
      <c r="V11" s="223"/>
      <c r="W11" s="282"/>
      <c r="X11" s="282"/>
      <c r="Y11" s="282"/>
      <c r="Z11" s="282"/>
      <c r="AA11" s="282"/>
      <c r="AB11" s="282"/>
      <c r="AC11" s="282"/>
    </row>
    <row r="12" spans="1:29" ht="13.5">
      <c r="A12" s="36"/>
      <c r="B12" s="526" t="s">
        <v>368</v>
      </c>
      <c r="C12" s="455"/>
      <c r="D12" s="455"/>
      <c r="E12" s="455"/>
      <c r="G12" s="283" t="s">
        <v>502</v>
      </c>
      <c r="H12" s="284"/>
      <c r="I12" s="284"/>
      <c r="J12" s="284"/>
      <c r="K12" s="284"/>
      <c r="L12" s="284"/>
      <c r="M12" s="285"/>
      <c r="N12" s="278"/>
      <c r="O12" s="283" t="s">
        <v>491</v>
      </c>
      <c r="P12" s="284"/>
      <c r="Q12" s="284"/>
      <c r="R12" s="284"/>
      <c r="S12" s="284"/>
      <c r="T12" s="284"/>
      <c r="U12" s="285"/>
      <c r="V12" s="278"/>
      <c r="W12" s="283" t="s">
        <v>495</v>
      </c>
      <c r="X12" s="284"/>
      <c r="Y12" s="284"/>
      <c r="Z12" s="284"/>
      <c r="AA12" s="284"/>
      <c r="AB12" s="284"/>
      <c r="AC12" s="285"/>
    </row>
    <row r="13" spans="1:29" ht="13.5">
      <c r="A13" s="36"/>
      <c r="B13" s="505" t="s">
        <v>369</v>
      </c>
      <c r="C13" s="498"/>
      <c r="D13" s="498"/>
      <c r="E13" s="466"/>
      <c r="G13" s="276" t="s">
        <v>676</v>
      </c>
      <c r="H13" s="275" t="s">
        <v>485</v>
      </c>
      <c r="I13" s="275" t="s">
        <v>486</v>
      </c>
      <c r="J13" s="275" t="s">
        <v>487</v>
      </c>
      <c r="K13" s="275" t="s">
        <v>488</v>
      </c>
      <c r="L13" s="275" t="s">
        <v>489</v>
      </c>
      <c r="M13" s="275" t="s">
        <v>490</v>
      </c>
      <c r="N13" s="278"/>
      <c r="O13" s="276" t="s">
        <v>676</v>
      </c>
      <c r="P13" s="275" t="s">
        <v>485</v>
      </c>
      <c r="Q13" s="275" t="s">
        <v>486</v>
      </c>
      <c r="R13" s="275" t="s">
        <v>487</v>
      </c>
      <c r="S13" s="275" t="s">
        <v>488</v>
      </c>
      <c r="T13" s="275" t="s">
        <v>489</v>
      </c>
      <c r="U13" s="275" t="s">
        <v>490</v>
      </c>
      <c r="V13" s="278"/>
      <c r="W13" s="276" t="s">
        <v>676</v>
      </c>
      <c r="X13" s="275" t="s">
        <v>485</v>
      </c>
      <c r="Y13" s="275" t="s">
        <v>486</v>
      </c>
      <c r="Z13" s="275" t="s">
        <v>487</v>
      </c>
      <c r="AA13" s="275" t="s">
        <v>488</v>
      </c>
      <c r="AB13" s="275" t="s">
        <v>489</v>
      </c>
      <c r="AC13" s="275" t="s">
        <v>490</v>
      </c>
    </row>
    <row r="14" spans="1:29" ht="13.5">
      <c r="A14" s="36"/>
      <c r="B14" s="498"/>
      <c r="C14" s="498"/>
      <c r="D14" s="498"/>
      <c r="E14" s="466"/>
      <c r="G14" s="276"/>
      <c r="H14" s="275"/>
      <c r="I14" s="276"/>
      <c r="J14" s="276"/>
      <c r="K14" s="276"/>
      <c r="L14" s="275">
        <v>1</v>
      </c>
      <c r="M14" s="276">
        <v>2</v>
      </c>
      <c r="N14" s="278"/>
      <c r="O14" s="276">
        <v>1</v>
      </c>
      <c r="P14" s="275">
        <v>2</v>
      </c>
      <c r="Q14" s="276">
        <v>3</v>
      </c>
      <c r="R14" s="276">
        <v>4</v>
      </c>
      <c r="S14" s="276">
        <v>5</v>
      </c>
      <c r="T14" s="275">
        <v>6</v>
      </c>
      <c r="U14" s="276">
        <v>7</v>
      </c>
      <c r="V14" s="278"/>
      <c r="W14" s="276"/>
      <c r="X14" s="275"/>
      <c r="Y14" s="276"/>
      <c r="Z14" s="277">
        <v>1</v>
      </c>
      <c r="AA14" s="277">
        <v>2</v>
      </c>
      <c r="AB14" s="277">
        <v>3</v>
      </c>
      <c r="AC14" s="276">
        <v>4</v>
      </c>
    </row>
    <row r="15" spans="1:29" ht="13.5">
      <c r="A15" s="36"/>
      <c r="B15" s="498"/>
      <c r="C15" s="498"/>
      <c r="D15" s="498"/>
      <c r="E15" s="466"/>
      <c r="G15" s="276">
        <v>3</v>
      </c>
      <c r="H15" s="277">
        <v>4</v>
      </c>
      <c r="I15" s="277">
        <v>5</v>
      </c>
      <c r="J15" s="277">
        <v>6</v>
      </c>
      <c r="K15" s="277">
        <v>7</v>
      </c>
      <c r="L15" s="277">
        <v>8</v>
      </c>
      <c r="M15" s="276">
        <v>9</v>
      </c>
      <c r="N15" s="278"/>
      <c r="O15" s="276">
        <v>8</v>
      </c>
      <c r="P15" s="275">
        <v>9</v>
      </c>
      <c r="Q15" s="275">
        <v>10</v>
      </c>
      <c r="R15" s="275">
        <v>11</v>
      </c>
      <c r="S15" s="275">
        <v>12</v>
      </c>
      <c r="T15" s="275">
        <v>13</v>
      </c>
      <c r="U15" s="276">
        <v>14</v>
      </c>
      <c r="V15" s="278"/>
      <c r="W15" s="276">
        <v>5</v>
      </c>
      <c r="X15" s="277">
        <v>6</v>
      </c>
      <c r="Y15" s="277">
        <v>7</v>
      </c>
      <c r="Z15" s="277">
        <v>8</v>
      </c>
      <c r="AA15" s="277">
        <v>9</v>
      </c>
      <c r="AB15" s="277">
        <v>10</v>
      </c>
      <c r="AC15" s="276">
        <v>11</v>
      </c>
    </row>
    <row r="16" spans="1:29" ht="16.5" customHeight="1">
      <c r="A16" s="7"/>
      <c r="B16" s="519" t="s">
        <v>370</v>
      </c>
      <c r="C16" s="518"/>
      <c r="D16" s="518"/>
      <c r="E16" s="518"/>
      <c r="G16" s="276">
        <v>10</v>
      </c>
      <c r="H16" s="277">
        <v>11</v>
      </c>
      <c r="I16" s="277">
        <v>12</v>
      </c>
      <c r="J16" s="277">
        <v>13</v>
      </c>
      <c r="K16" s="277">
        <v>14</v>
      </c>
      <c r="L16" s="277">
        <v>15</v>
      </c>
      <c r="M16" s="276">
        <v>16</v>
      </c>
      <c r="N16" s="278"/>
      <c r="O16" s="276">
        <v>15</v>
      </c>
      <c r="P16" s="275">
        <v>16</v>
      </c>
      <c r="Q16" s="275">
        <v>17</v>
      </c>
      <c r="R16" s="275">
        <v>18</v>
      </c>
      <c r="S16" s="275">
        <v>19</v>
      </c>
      <c r="T16" s="275">
        <v>20</v>
      </c>
      <c r="U16" s="276">
        <v>21</v>
      </c>
      <c r="V16" s="278"/>
      <c r="W16" s="276">
        <v>12</v>
      </c>
      <c r="X16" s="277">
        <v>13</v>
      </c>
      <c r="Y16" s="277">
        <v>14</v>
      </c>
      <c r="Z16" s="277">
        <v>15</v>
      </c>
      <c r="AA16" s="277">
        <v>16</v>
      </c>
      <c r="AB16" s="277">
        <v>17</v>
      </c>
      <c r="AC16" s="276">
        <v>18</v>
      </c>
    </row>
    <row r="17" spans="1:29" ht="16.5" customHeight="1">
      <c r="A17" s="10"/>
      <c r="B17" s="121"/>
      <c r="C17" s="11"/>
      <c r="D17" s="11"/>
      <c r="E17" s="11"/>
      <c r="G17" s="276">
        <v>17</v>
      </c>
      <c r="H17" s="276">
        <v>18</v>
      </c>
      <c r="I17" s="277">
        <v>19</v>
      </c>
      <c r="J17" s="277">
        <v>20</v>
      </c>
      <c r="K17" s="277">
        <v>21</v>
      </c>
      <c r="L17" s="277">
        <v>22</v>
      </c>
      <c r="M17" s="276">
        <v>23</v>
      </c>
      <c r="N17" s="278"/>
      <c r="O17" s="276">
        <v>22</v>
      </c>
      <c r="P17" s="275">
        <v>23</v>
      </c>
      <c r="Q17" s="275">
        <v>24</v>
      </c>
      <c r="R17" s="275">
        <v>25</v>
      </c>
      <c r="S17" s="275">
        <v>26</v>
      </c>
      <c r="T17" s="275">
        <v>27</v>
      </c>
      <c r="U17" s="276">
        <v>28</v>
      </c>
      <c r="V17" s="278"/>
      <c r="W17" s="276">
        <v>19</v>
      </c>
      <c r="X17" s="277">
        <v>20</v>
      </c>
      <c r="Y17" s="277">
        <v>21</v>
      </c>
      <c r="Z17" s="277">
        <v>22</v>
      </c>
      <c r="AA17" s="277">
        <v>23</v>
      </c>
      <c r="AB17" s="277">
        <v>24</v>
      </c>
      <c r="AC17" s="276">
        <v>25</v>
      </c>
    </row>
    <row r="18" spans="1:29" ht="16.5" customHeight="1">
      <c r="A18" s="10"/>
      <c r="B18" s="130" t="s">
        <v>882</v>
      </c>
      <c r="C18" s="11"/>
      <c r="D18" s="11"/>
      <c r="E18" s="159"/>
      <c r="G18" s="276">
        <v>24</v>
      </c>
      <c r="H18" s="277">
        <v>25</v>
      </c>
      <c r="I18" s="277">
        <v>26</v>
      </c>
      <c r="J18" s="277">
        <v>27</v>
      </c>
      <c r="K18" s="277">
        <v>28</v>
      </c>
      <c r="L18" s="276">
        <v>29</v>
      </c>
      <c r="M18" s="276">
        <v>30</v>
      </c>
      <c r="N18" s="278"/>
      <c r="O18" s="276">
        <v>29</v>
      </c>
      <c r="P18" s="275">
        <v>30</v>
      </c>
      <c r="Q18" s="275">
        <v>31</v>
      </c>
      <c r="R18" s="275"/>
      <c r="S18" s="275"/>
      <c r="T18" s="275"/>
      <c r="U18" s="275"/>
      <c r="V18" s="278"/>
      <c r="W18" s="276">
        <v>26</v>
      </c>
      <c r="X18" s="277">
        <v>27</v>
      </c>
      <c r="Y18" s="277">
        <v>28</v>
      </c>
      <c r="Z18" s="277">
        <v>29</v>
      </c>
      <c r="AA18" s="277">
        <v>30</v>
      </c>
      <c r="AB18" s="277"/>
      <c r="AC18" s="276"/>
    </row>
    <row r="19" spans="1:29" ht="16.5" customHeight="1">
      <c r="A19" s="10"/>
      <c r="B19" s="514" t="s">
        <v>660</v>
      </c>
      <c r="C19" s="515"/>
      <c r="D19" s="150" t="s">
        <v>661</v>
      </c>
      <c r="E19" s="240" t="s">
        <v>353</v>
      </c>
      <c r="G19" s="279"/>
      <c r="H19" s="280"/>
      <c r="I19" s="280"/>
      <c r="J19" s="280"/>
      <c r="K19" s="280"/>
      <c r="L19" s="280"/>
      <c r="M19" s="279"/>
      <c r="N19" s="223"/>
      <c r="O19" s="281"/>
      <c r="P19" s="281"/>
      <c r="Q19" s="281"/>
      <c r="R19" s="281"/>
      <c r="S19" s="281"/>
      <c r="T19" s="281"/>
      <c r="U19" s="281"/>
      <c r="V19" s="223"/>
      <c r="W19" s="281"/>
      <c r="X19" s="281"/>
      <c r="Y19" s="281"/>
      <c r="Z19" s="281"/>
      <c r="AA19" s="281"/>
      <c r="AB19" s="281"/>
      <c r="AC19" s="281"/>
    </row>
    <row r="20" spans="1:29" ht="16.5" customHeight="1">
      <c r="A20" s="10"/>
      <c r="B20" s="429" t="s">
        <v>141</v>
      </c>
      <c r="C20" s="458"/>
      <c r="D20" s="153">
        <f>NETWORKDAYS("2005/1/1","2005/1/31")</f>
        <v>21</v>
      </c>
      <c r="E20" s="241" t="s">
        <v>131</v>
      </c>
      <c r="G20" s="283" t="s">
        <v>496</v>
      </c>
      <c r="H20" s="284"/>
      <c r="I20" s="284"/>
      <c r="J20" s="284"/>
      <c r="K20" s="284"/>
      <c r="L20" s="284"/>
      <c r="M20" s="285"/>
      <c r="N20" s="278"/>
      <c r="O20" s="283" t="s">
        <v>497</v>
      </c>
      <c r="P20" s="284"/>
      <c r="Q20" s="284"/>
      <c r="R20" s="284"/>
      <c r="S20" s="284"/>
      <c r="T20" s="284"/>
      <c r="U20" s="285"/>
      <c r="V20" s="278"/>
      <c r="W20" s="283" t="s">
        <v>498</v>
      </c>
      <c r="X20" s="284"/>
      <c r="Y20" s="284"/>
      <c r="Z20" s="284"/>
      <c r="AA20" s="284"/>
      <c r="AB20" s="284"/>
      <c r="AC20" s="285"/>
    </row>
    <row r="21" spans="1:29" ht="16.5" customHeight="1">
      <c r="A21" s="10"/>
      <c r="B21" s="429" t="s">
        <v>126</v>
      </c>
      <c r="C21" s="458"/>
      <c r="D21" s="153">
        <f>NETWORKDAYS("2005/2/1","2005/2/28")</f>
        <v>20</v>
      </c>
      <c r="E21" s="241" t="s">
        <v>132</v>
      </c>
      <c r="G21" s="283"/>
      <c r="H21" s="284"/>
      <c r="I21" s="284"/>
      <c r="J21" s="284"/>
      <c r="K21" s="284"/>
      <c r="L21" s="284"/>
      <c r="M21" s="285"/>
      <c r="N21" s="278"/>
      <c r="O21" s="283"/>
      <c r="P21" s="284"/>
      <c r="Q21" s="284"/>
      <c r="R21" s="284"/>
      <c r="S21" s="284"/>
      <c r="T21" s="284"/>
      <c r="U21" s="285"/>
      <c r="V21" s="278"/>
      <c r="W21" s="283"/>
      <c r="X21" s="284"/>
      <c r="Y21" s="284"/>
      <c r="Z21" s="284"/>
      <c r="AA21" s="284"/>
      <c r="AB21" s="284"/>
      <c r="AC21" s="285"/>
    </row>
    <row r="22" spans="1:29" ht="16.5" customHeight="1">
      <c r="A22" s="10"/>
      <c r="B22" s="429" t="s">
        <v>134</v>
      </c>
      <c r="C22" s="458"/>
      <c r="D22" s="153">
        <f>NETWORKDAYS("2005/3/1","2005/3/31")</f>
        <v>23</v>
      </c>
      <c r="E22" s="241" t="s">
        <v>133</v>
      </c>
      <c r="G22" s="276" t="s">
        <v>676</v>
      </c>
      <c r="H22" s="275" t="s">
        <v>485</v>
      </c>
      <c r="I22" s="275" t="s">
        <v>486</v>
      </c>
      <c r="J22" s="275" t="s">
        <v>487</v>
      </c>
      <c r="K22" s="275" t="s">
        <v>488</v>
      </c>
      <c r="L22" s="275" t="s">
        <v>489</v>
      </c>
      <c r="M22" s="275" t="s">
        <v>490</v>
      </c>
      <c r="N22" s="278"/>
      <c r="O22" s="276" t="s">
        <v>676</v>
      </c>
      <c r="P22" s="275" t="s">
        <v>485</v>
      </c>
      <c r="Q22" s="275" t="s">
        <v>486</v>
      </c>
      <c r="R22" s="275" t="s">
        <v>487</v>
      </c>
      <c r="S22" s="275" t="s">
        <v>488</v>
      </c>
      <c r="T22" s="275" t="s">
        <v>489</v>
      </c>
      <c r="U22" s="275" t="s">
        <v>490</v>
      </c>
      <c r="V22" s="278"/>
      <c r="W22" s="276" t="s">
        <v>676</v>
      </c>
      <c r="X22" s="275" t="s">
        <v>485</v>
      </c>
      <c r="Y22" s="275" t="s">
        <v>486</v>
      </c>
      <c r="Z22" s="275" t="s">
        <v>487</v>
      </c>
      <c r="AA22" s="275" t="s">
        <v>488</v>
      </c>
      <c r="AB22" s="275" t="s">
        <v>489</v>
      </c>
      <c r="AC22" s="275" t="s">
        <v>490</v>
      </c>
    </row>
    <row r="23" spans="1:29" ht="16.5" customHeight="1">
      <c r="A23" s="10"/>
      <c r="B23" s="429" t="s">
        <v>204</v>
      </c>
      <c r="C23" s="458"/>
      <c r="D23" s="153">
        <f>NETWORKDAYS("2005/3/1","2005/12/31")</f>
        <v>219</v>
      </c>
      <c r="E23" s="264" t="s">
        <v>203</v>
      </c>
      <c r="G23" s="276"/>
      <c r="H23" s="275"/>
      <c r="I23" s="276"/>
      <c r="J23" s="276"/>
      <c r="K23" s="276"/>
      <c r="L23" s="275">
        <v>1</v>
      </c>
      <c r="M23" s="276">
        <v>2</v>
      </c>
      <c r="N23" s="278"/>
      <c r="O23" s="276"/>
      <c r="P23" s="277">
        <v>1</v>
      </c>
      <c r="Q23" s="277">
        <v>2</v>
      </c>
      <c r="R23" s="277">
        <v>3</v>
      </c>
      <c r="S23" s="277">
        <v>4</v>
      </c>
      <c r="T23" s="277">
        <v>5</v>
      </c>
      <c r="U23" s="276">
        <v>6</v>
      </c>
      <c r="V23" s="278"/>
      <c r="W23" s="276"/>
      <c r="X23" s="275"/>
      <c r="Y23" s="276"/>
      <c r="Z23" s="277"/>
      <c r="AA23" s="277">
        <v>1</v>
      </c>
      <c r="AB23" s="277">
        <v>2</v>
      </c>
      <c r="AC23" s="276">
        <v>3</v>
      </c>
    </row>
    <row r="24" spans="1:29" ht="16.5" customHeight="1">
      <c r="A24" s="10"/>
      <c r="B24" s="533" t="s">
        <v>127</v>
      </c>
      <c r="C24" s="455"/>
      <c r="D24" s="152" t="e">
        <f>NETWORKDAYS("2005/2/1","2005/2/29")</f>
        <v>#VALUE!</v>
      </c>
      <c r="E24" s="241" t="s">
        <v>128</v>
      </c>
      <c r="G24" s="276">
        <v>3</v>
      </c>
      <c r="H24" s="277">
        <v>4</v>
      </c>
      <c r="I24" s="277">
        <v>5</v>
      </c>
      <c r="J24" s="277">
        <v>6</v>
      </c>
      <c r="K24" s="277">
        <v>7</v>
      </c>
      <c r="L24" s="277">
        <v>8</v>
      </c>
      <c r="M24" s="276">
        <v>9</v>
      </c>
      <c r="N24" s="278"/>
      <c r="O24" s="276">
        <v>7</v>
      </c>
      <c r="P24" s="277">
        <v>8</v>
      </c>
      <c r="Q24" s="277">
        <v>9</v>
      </c>
      <c r="R24" s="277">
        <v>10</v>
      </c>
      <c r="S24" s="277">
        <v>11</v>
      </c>
      <c r="T24" s="277">
        <v>12</v>
      </c>
      <c r="U24" s="276">
        <v>13</v>
      </c>
      <c r="V24" s="278"/>
      <c r="W24" s="276">
        <v>4</v>
      </c>
      <c r="X24" s="277">
        <v>5</v>
      </c>
      <c r="Y24" s="277">
        <v>6</v>
      </c>
      <c r="Z24" s="277">
        <v>7</v>
      </c>
      <c r="AA24" s="277">
        <v>8</v>
      </c>
      <c r="AB24" s="277">
        <v>9</v>
      </c>
      <c r="AC24" s="276">
        <v>10</v>
      </c>
    </row>
    <row r="25" spans="2:29" ht="16.5" customHeight="1">
      <c r="B25" s="533" t="s">
        <v>129</v>
      </c>
      <c r="C25" s="455"/>
      <c r="D25" s="152">
        <f>NETWORKDAYS("2005/2/1","2005/1/1")</f>
        <v>-22</v>
      </c>
      <c r="E25" s="241" t="s">
        <v>130</v>
      </c>
      <c r="G25" s="276">
        <v>10</v>
      </c>
      <c r="H25" s="277">
        <v>11</v>
      </c>
      <c r="I25" s="277">
        <v>12</v>
      </c>
      <c r="J25" s="277">
        <v>13</v>
      </c>
      <c r="K25" s="277">
        <v>14</v>
      </c>
      <c r="L25" s="277">
        <v>15</v>
      </c>
      <c r="M25" s="276">
        <v>16</v>
      </c>
      <c r="N25" s="278"/>
      <c r="O25" s="276">
        <v>14</v>
      </c>
      <c r="P25" s="277">
        <v>15</v>
      </c>
      <c r="Q25" s="277">
        <v>16</v>
      </c>
      <c r="R25" s="277">
        <v>17</v>
      </c>
      <c r="S25" s="277">
        <v>18</v>
      </c>
      <c r="T25" s="277">
        <v>19</v>
      </c>
      <c r="U25" s="276">
        <v>20</v>
      </c>
      <c r="V25" s="278"/>
      <c r="W25" s="276">
        <v>11</v>
      </c>
      <c r="X25" s="277">
        <v>12</v>
      </c>
      <c r="Y25" s="277">
        <v>13</v>
      </c>
      <c r="Z25" s="277">
        <v>14</v>
      </c>
      <c r="AA25" s="277">
        <v>15</v>
      </c>
      <c r="AB25" s="277">
        <v>16</v>
      </c>
      <c r="AC25" s="276">
        <v>17</v>
      </c>
    </row>
    <row r="26" spans="2:29" ht="16.5" customHeight="1">
      <c r="B26" s="429" t="s">
        <v>136</v>
      </c>
      <c r="C26" s="458"/>
      <c r="D26" s="153">
        <f>NETWORKDAYS("2/1","2/28")</f>
        <v>20</v>
      </c>
      <c r="E26" s="264" t="s">
        <v>135</v>
      </c>
      <c r="G26" s="276">
        <v>17</v>
      </c>
      <c r="H26" s="276">
        <v>18</v>
      </c>
      <c r="I26" s="277">
        <v>19</v>
      </c>
      <c r="J26" s="277">
        <v>20</v>
      </c>
      <c r="K26" s="277">
        <v>21</v>
      </c>
      <c r="L26" s="277">
        <v>22</v>
      </c>
      <c r="M26" s="276">
        <v>23</v>
      </c>
      <c r="N26" s="278"/>
      <c r="O26" s="276">
        <v>21</v>
      </c>
      <c r="P26" s="277">
        <v>22</v>
      </c>
      <c r="Q26" s="277">
        <v>23</v>
      </c>
      <c r="R26" s="277">
        <v>24</v>
      </c>
      <c r="S26" s="277">
        <v>25</v>
      </c>
      <c r="T26" s="277">
        <v>26</v>
      </c>
      <c r="U26" s="276">
        <v>27</v>
      </c>
      <c r="V26" s="278"/>
      <c r="W26" s="276">
        <v>18</v>
      </c>
      <c r="X26" s="276">
        <v>19</v>
      </c>
      <c r="Y26" s="277">
        <v>20</v>
      </c>
      <c r="Z26" s="277">
        <v>21</v>
      </c>
      <c r="AA26" s="277">
        <v>22</v>
      </c>
      <c r="AB26" s="276">
        <v>23</v>
      </c>
      <c r="AC26" s="276">
        <v>24</v>
      </c>
    </row>
    <row r="27" spans="2:29" ht="16.5" customHeight="1">
      <c r="B27" s="429" t="s">
        <v>137</v>
      </c>
      <c r="C27" s="458"/>
      <c r="D27" s="153">
        <f>NETWORKDAYS("2005/2/1","2006/1/31")</f>
        <v>261</v>
      </c>
      <c r="E27" s="264" t="s">
        <v>138</v>
      </c>
      <c r="G27" s="276">
        <v>24</v>
      </c>
      <c r="H27" s="277">
        <v>25</v>
      </c>
      <c r="I27" s="277">
        <v>26</v>
      </c>
      <c r="J27" s="277">
        <v>27</v>
      </c>
      <c r="K27" s="277">
        <v>28</v>
      </c>
      <c r="L27" s="277">
        <v>29</v>
      </c>
      <c r="M27" s="276">
        <v>30</v>
      </c>
      <c r="N27" s="278"/>
      <c r="O27" s="276">
        <v>28</v>
      </c>
      <c r="P27" s="277">
        <v>29</v>
      </c>
      <c r="Q27" s="277">
        <v>30</v>
      </c>
      <c r="R27" s="277">
        <v>31</v>
      </c>
      <c r="S27" s="277"/>
      <c r="T27" s="277"/>
      <c r="U27" s="276"/>
      <c r="V27" s="278"/>
      <c r="W27" s="276">
        <v>25</v>
      </c>
      <c r="X27" s="277">
        <v>26</v>
      </c>
      <c r="Y27" s="277">
        <v>27</v>
      </c>
      <c r="Z27" s="277">
        <v>28</v>
      </c>
      <c r="AA27" s="277">
        <v>29</v>
      </c>
      <c r="AB27" s="277">
        <v>30</v>
      </c>
      <c r="AC27" s="276"/>
    </row>
    <row r="28" spans="2:29" ht="21" customHeight="1">
      <c r="B28" s="429" t="s">
        <v>139</v>
      </c>
      <c r="C28" s="458"/>
      <c r="D28" s="152" t="e">
        <f>NETWORKDAYS("2005/1/31","-2005/2/1")</f>
        <v>#VALUE!</v>
      </c>
      <c r="E28" s="264" t="s">
        <v>469</v>
      </c>
      <c r="G28" s="276">
        <v>31</v>
      </c>
      <c r="H28" s="280"/>
      <c r="I28" s="280"/>
      <c r="J28" s="280"/>
      <c r="K28" s="280"/>
      <c r="L28" s="280"/>
      <c r="M28" s="279"/>
      <c r="N28" s="223"/>
      <c r="O28" s="281"/>
      <c r="P28" s="281"/>
      <c r="Q28" s="281"/>
      <c r="R28" s="281"/>
      <c r="S28" s="281"/>
      <c r="T28" s="281"/>
      <c r="U28" s="281"/>
      <c r="V28" s="223"/>
      <c r="W28" s="281"/>
      <c r="X28" s="281"/>
      <c r="Y28" s="281"/>
      <c r="Z28" s="281"/>
      <c r="AA28" s="281"/>
      <c r="AB28" s="281"/>
      <c r="AC28" s="281"/>
    </row>
    <row r="29" spans="2:29" ht="22.5" customHeight="1">
      <c r="B29" s="429" t="s">
        <v>140</v>
      </c>
      <c r="C29" s="458"/>
      <c r="D29" s="152" t="e">
        <f>NETWORKDAYS("1899/12/31","1900/1/1")</f>
        <v>#VALUE!</v>
      </c>
      <c r="E29" s="264" t="s">
        <v>427</v>
      </c>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row>
    <row r="30" spans="7:29" ht="16.5" customHeight="1">
      <c r="G30" s="283" t="s">
        <v>499</v>
      </c>
      <c r="H30" s="284"/>
      <c r="I30" s="284"/>
      <c r="J30" s="284"/>
      <c r="K30" s="284"/>
      <c r="L30" s="284"/>
      <c r="M30" s="285"/>
      <c r="N30" s="278"/>
      <c r="O30" s="283" t="s">
        <v>501</v>
      </c>
      <c r="P30" s="284"/>
      <c r="Q30" s="284"/>
      <c r="R30" s="284"/>
      <c r="S30" s="284"/>
      <c r="T30" s="284"/>
      <c r="U30" s="285"/>
      <c r="V30" s="278"/>
      <c r="W30" s="283" t="s">
        <v>500</v>
      </c>
      <c r="X30" s="284"/>
      <c r="Y30" s="284"/>
      <c r="Z30" s="284"/>
      <c r="AA30" s="284"/>
      <c r="AB30" s="284"/>
      <c r="AC30" s="285"/>
    </row>
    <row r="31" spans="2:29" ht="16.5" customHeight="1">
      <c r="B31" s="272" t="s">
        <v>483</v>
      </c>
      <c r="C31" s="5"/>
      <c r="G31" s="276"/>
      <c r="H31" s="275"/>
      <c r="I31" s="276"/>
      <c r="J31" s="276"/>
      <c r="K31" s="276"/>
      <c r="L31" s="275"/>
      <c r="M31" s="276">
        <v>1</v>
      </c>
      <c r="N31" s="278"/>
      <c r="O31" s="274"/>
      <c r="P31" s="275"/>
      <c r="Q31" s="275">
        <v>1</v>
      </c>
      <c r="R31" s="275">
        <v>2</v>
      </c>
      <c r="S31" s="276">
        <v>3</v>
      </c>
      <c r="T31" s="275">
        <v>4</v>
      </c>
      <c r="U31" s="276">
        <v>5</v>
      </c>
      <c r="V31" s="278"/>
      <c r="W31" s="276"/>
      <c r="X31" s="275"/>
      <c r="Y31" s="276"/>
      <c r="Z31" s="277"/>
      <c r="AA31" s="277">
        <v>1</v>
      </c>
      <c r="AB31" s="277">
        <v>2</v>
      </c>
      <c r="AC31" s="276">
        <v>3</v>
      </c>
    </row>
    <row r="32" spans="2:29" ht="13.5">
      <c r="B32" s="290">
        <v>38353</v>
      </c>
      <c r="G32" s="276">
        <v>2</v>
      </c>
      <c r="H32" s="277">
        <v>3</v>
      </c>
      <c r="I32" s="277">
        <v>4</v>
      </c>
      <c r="J32" s="277">
        <v>5</v>
      </c>
      <c r="K32" s="277">
        <v>6</v>
      </c>
      <c r="L32" s="277">
        <v>7</v>
      </c>
      <c r="M32" s="276">
        <v>8</v>
      </c>
      <c r="N32" s="278"/>
      <c r="O32" s="274">
        <v>6</v>
      </c>
      <c r="P32" s="275">
        <v>7</v>
      </c>
      <c r="Q32" s="275">
        <v>8</v>
      </c>
      <c r="R32" s="275">
        <v>9</v>
      </c>
      <c r="S32" s="275">
        <v>10</v>
      </c>
      <c r="T32" s="277">
        <v>11</v>
      </c>
      <c r="U32" s="276">
        <v>12</v>
      </c>
      <c r="V32" s="278"/>
      <c r="W32" s="276">
        <v>4</v>
      </c>
      <c r="X32" s="277">
        <v>5</v>
      </c>
      <c r="Y32" s="277">
        <v>6</v>
      </c>
      <c r="Z32" s="277">
        <v>7</v>
      </c>
      <c r="AA32" s="277">
        <v>8</v>
      </c>
      <c r="AB32" s="277">
        <v>9</v>
      </c>
      <c r="AC32" s="276">
        <v>10</v>
      </c>
    </row>
    <row r="33" spans="2:29" ht="13.5">
      <c r="B33" s="290">
        <v>38362</v>
      </c>
      <c r="G33" s="276">
        <v>9</v>
      </c>
      <c r="H33" s="276">
        <v>10</v>
      </c>
      <c r="I33" s="277">
        <v>11</v>
      </c>
      <c r="J33" s="277">
        <v>12</v>
      </c>
      <c r="K33" s="277">
        <v>13</v>
      </c>
      <c r="L33" s="277">
        <v>14</v>
      </c>
      <c r="M33" s="276">
        <v>15</v>
      </c>
      <c r="N33" s="278"/>
      <c r="O33" s="274">
        <v>13</v>
      </c>
      <c r="P33" s="275">
        <v>14</v>
      </c>
      <c r="Q33" s="275">
        <v>15</v>
      </c>
      <c r="R33" s="275">
        <v>16</v>
      </c>
      <c r="S33" s="275">
        <v>17</v>
      </c>
      <c r="T33" s="275">
        <v>18</v>
      </c>
      <c r="U33" s="276">
        <v>19</v>
      </c>
      <c r="V33" s="278"/>
      <c r="W33" s="276">
        <v>11</v>
      </c>
      <c r="X33" s="277">
        <v>12</v>
      </c>
      <c r="Y33" s="277">
        <v>13</v>
      </c>
      <c r="Z33" s="277">
        <v>14</v>
      </c>
      <c r="AA33" s="277">
        <v>15</v>
      </c>
      <c r="AB33" s="277">
        <v>16</v>
      </c>
      <c r="AC33" s="276">
        <v>17</v>
      </c>
    </row>
    <row r="34" spans="2:29" ht="13.5">
      <c r="B34" s="290">
        <v>38394</v>
      </c>
      <c r="G34" s="276">
        <v>16</v>
      </c>
      <c r="H34" s="277">
        <v>17</v>
      </c>
      <c r="I34" s="277">
        <v>18</v>
      </c>
      <c r="J34" s="277">
        <v>19</v>
      </c>
      <c r="K34" s="277">
        <v>20</v>
      </c>
      <c r="L34" s="277">
        <v>21</v>
      </c>
      <c r="M34" s="276">
        <v>22</v>
      </c>
      <c r="N34" s="278"/>
      <c r="O34" s="274">
        <v>20</v>
      </c>
      <c r="P34" s="277">
        <v>21</v>
      </c>
      <c r="Q34" s="275">
        <v>22</v>
      </c>
      <c r="R34" s="276">
        <v>23</v>
      </c>
      <c r="S34" s="275">
        <v>24</v>
      </c>
      <c r="T34" s="275">
        <v>25</v>
      </c>
      <c r="U34" s="276">
        <v>26</v>
      </c>
      <c r="V34" s="278"/>
      <c r="W34" s="276">
        <v>18</v>
      </c>
      <c r="X34" s="277">
        <v>19</v>
      </c>
      <c r="Y34" s="277">
        <v>20</v>
      </c>
      <c r="Z34" s="277">
        <v>21</v>
      </c>
      <c r="AA34" s="277">
        <v>22</v>
      </c>
      <c r="AB34" s="276">
        <v>23</v>
      </c>
      <c r="AC34" s="276">
        <v>24</v>
      </c>
    </row>
    <row r="35" spans="2:29" ht="13.5">
      <c r="B35" s="290">
        <v>38432</v>
      </c>
      <c r="G35" s="276">
        <v>23</v>
      </c>
      <c r="H35" s="277">
        <v>24</v>
      </c>
      <c r="I35" s="277">
        <v>25</v>
      </c>
      <c r="J35" s="277">
        <v>26</v>
      </c>
      <c r="K35" s="277">
        <v>27</v>
      </c>
      <c r="L35" s="277">
        <v>28</v>
      </c>
      <c r="M35" s="276">
        <v>29</v>
      </c>
      <c r="N35" s="278"/>
      <c r="O35" s="274">
        <v>27</v>
      </c>
      <c r="P35" s="275">
        <v>28</v>
      </c>
      <c r="Q35" s="275">
        <v>29</v>
      </c>
      <c r="R35" s="275">
        <v>30</v>
      </c>
      <c r="S35" s="275"/>
      <c r="T35" s="275"/>
      <c r="U35" s="275"/>
      <c r="V35" s="278"/>
      <c r="W35" s="276">
        <v>25</v>
      </c>
      <c r="X35" s="277">
        <v>26</v>
      </c>
      <c r="Y35" s="277">
        <v>27</v>
      </c>
      <c r="Z35" s="277">
        <v>28</v>
      </c>
      <c r="AA35" s="277">
        <v>29</v>
      </c>
      <c r="AB35" s="277">
        <v>30</v>
      </c>
      <c r="AC35" s="276">
        <v>31</v>
      </c>
    </row>
    <row r="36" spans="2:13" ht="13.5">
      <c r="B36" s="290">
        <v>38471</v>
      </c>
      <c r="G36" s="276">
        <v>30</v>
      </c>
      <c r="H36" s="277">
        <v>31</v>
      </c>
      <c r="I36" s="237"/>
      <c r="J36" s="237"/>
      <c r="K36" s="237"/>
      <c r="L36" s="237"/>
      <c r="M36" s="272"/>
    </row>
    <row r="37" ht="13.5">
      <c r="B37" s="290">
        <v>38475</v>
      </c>
    </row>
    <row r="38" ht="13.5">
      <c r="B38" s="290">
        <v>38476</v>
      </c>
    </row>
    <row r="39" ht="13.5">
      <c r="B39" s="290">
        <v>38477</v>
      </c>
    </row>
    <row r="40" ht="13.5">
      <c r="B40" s="290">
        <v>38551</v>
      </c>
    </row>
    <row r="41" ht="13.5">
      <c r="B41" s="290">
        <v>38614</v>
      </c>
    </row>
    <row r="42" ht="13.5">
      <c r="B42" s="290">
        <v>38618</v>
      </c>
    </row>
    <row r="43" ht="13.5">
      <c r="B43" s="290">
        <v>38635</v>
      </c>
    </row>
    <row r="44" ht="13.5">
      <c r="B44" s="290">
        <v>38659</v>
      </c>
    </row>
    <row r="45" ht="13.5">
      <c r="B45" s="290">
        <v>38679</v>
      </c>
    </row>
    <row r="46" ht="13.5">
      <c r="B46" s="290">
        <v>38709</v>
      </c>
    </row>
    <row r="48" ht="13.5">
      <c r="B48" s="83" t="s">
        <v>142</v>
      </c>
    </row>
    <row r="49" ht="13.5">
      <c r="B49" t="s">
        <v>171</v>
      </c>
    </row>
    <row r="50" spans="2:4" ht="13.5">
      <c r="B50" s="440" t="s">
        <v>151</v>
      </c>
      <c r="C50" s="458"/>
      <c r="D50" s="458"/>
    </row>
    <row r="51" spans="3:5" ht="13.5">
      <c r="C51" s="311" t="s">
        <v>143</v>
      </c>
      <c r="D51" s="310" t="str">
        <f>NETWORKDAYS("2005/1/1","2005/2/28",B32:B46)&amp;"日"</f>
        <v>39日</v>
      </c>
      <c r="E51" s="178" t="s">
        <v>144</v>
      </c>
    </row>
    <row r="52" ht="13.5">
      <c r="B52" t="s">
        <v>173</v>
      </c>
    </row>
    <row r="53" spans="2:4" ht="13.5">
      <c r="B53" s="440" t="s">
        <v>172</v>
      </c>
      <c r="C53" s="458"/>
      <c r="D53" s="458"/>
    </row>
    <row r="54" spans="3:5" ht="13.5">
      <c r="C54" s="311" t="s">
        <v>143</v>
      </c>
      <c r="D54" s="310" t="str">
        <f>NETWORKDAYS("2005/1/1","2005/2/28",{"1/10";"2/11"})&amp;"日"</f>
        <v>39日</v>
      </c>
      <c r="E54" s="178" t="s">
        <v>144</v>
      </c>
    </row>
    <row r="55" spans="2:5" ht="13.5">
      <c r="B55" t="s">
        <v>206</v>
      </c>
      <c r="C55" s="13"/>
      <c r="D55" s="312"/>
      <c r="E55" s="10"/>
    </row>
    <row r="56" spans="2:4" ht="13.5">
      <c r="B56" s="440" t="s">
        <v>205</v>
      </c>
      <c r="C56" s="458"/>
      <c r="D56" s="458"/>
    </row>
    <row r="57" spans="3:5" ht="13.5" customHeight="1">
      <c r="C57" s="311" t="s">
        <v>143</v>
      </c>
      <c r="D57" s="310" t="str">
        <f>NETWORKDAYS("2005/1/1","2005/12/31",B32:B46)&amp;"日"</f>
        <v>246日</v>
      </c>
      <c r="E57" s="10"/>
    </row>
    <row r="59" ht="13.5">
      <c r="B59" s="83" t="s">
        <v>168</v>
      </c>
    </row>
    <row r="60" ht="13.5">
      <c r="B60" t="s">
        <v>170</v>
      </c>
    </row>
    <row r="61" spans="2:4" ht="13.5">
      <c r="B61" s="54" t="s">
        <v>152</v>
      </c>
      <c r="C61" s="55"/>
      <c r="D61" s="55"/>
    </row>
    <row r="62" ht="13.5">
      <c r="D62" s="310" t="e">
        <f ca="1">NETWORKDAYS(TODAY(),"2005/2/28",B32:B46)&amp;"日"</f>
        <v>#NAME?</v>
      </c>
    </row>
    <row r="64" ht="13.5">
      <c r="B64" t="s">
        <v>169</v>
      </c>
    </row>
    <row r="65" spans="2:4" ht="13.5">
      <c r="B65" s="54" t="s">
        <v>167</v>
      </c>
      <c r="C65" s="55"/>
      <c r="D65" s="55"/>
    </row>
    <row r="66" ht="13.5">
      <c r="D66" s="137" t="e">
        <f ca="1">NETWORKDAYS("2005/1/1",TODAY(),B33:B47)&amp;"日"</f>
        <v>#NAME?</v>
      </c>
    </row>
    <row r="68" ht="13.5">
      <c r="B68" s="83" t="s">
        <v>460</v>
      </c>
    </row>
    <row r="69" spans="2:3" ht="13.5">
      <c r="B69" s="313" t="s">
        <v>174</v>
      </c>
      <c r="C69" s="314">
        <v>7000</v>
      </c>
    </row>
    <row r="70" spans="2:3" ht="13.5">
      <c r="B70" s="136" t="s">
        <v>175</v>
      </c>
      <c r="C70" s="315">
        <f>NETWORKDAYS("2005/1/1","2005/1/31","1/10")*C69</f>
        <v>140000</v>
      </c>
    </row>
    <row r="71" spans="2:5" ht="13.5">
      <c r="B71" s="55" t="s">
        <v>730</v>
      </c>
      <c r="C71" s="54" t="s">
        <v>153</v>
      </c>
      <c r="D71" s="55"/>
      <c r="E71" s="55"/>
    </row>
    <row r="73" ht="13.5">
      <c r="B73" s="340" t="s">
        <v>250</v>
      </c>
    </row>
    <row r="75" ht="13.5">
      <c r="B75" t="s">
        <v>177</v>
      </c>
    </row>
    <row r="76" ht="13.5">
      <c r="B76" t="s">
        <v>178</v>
      </c>
    </row>
    <row r="77" ht="13.5">
      <c r="B77" t="s">
        <v>176</v>
      </c>
    </row>
    <row r="78" ht="13.5">
      <c r="B78" t="s">
        <v>179</v>
      </c>
    </row>
  </sheetData>
  <mergeCells count="20">
    <mergeCell ref="B56:D56"/>
    <mergeCell ref="B29:C29"/>
    <mergeCell ref="B22:C22"/>
    <mergeCell ref="B24:C24"/>
    <mergeCell ref="B50:D50"/>
    <mergeCell ref="B23:C23"/>
    <mergeCell ref="B25:C25"/>
    <mergeCell ref="B26:C26"/>
    <mergeCell ref="B27:C27"/>
    <mergeCell ref="B28:C28"/>
    <mergeCell ref="B19:C19"/>
    <mergeCell ref="B20:C20"/>
    <mergeCell ref="B21:C21"/>
    <mergeCell ref="B53:D53"/>
    <mergeCell ref="B16:E16"/>
    <mergeCell ref="B13:E15"/>
    <mergeCell ref="B9:E9"/>
    <mergeCell ref="B3:E7"/>
    <mergeCell ref="B11:E11"/>
    <mergeCell ref="B12:E12"/>
  </mergeCells>
  <printOptions/>
  <pageMargins left="0.7874015748031497" right="0.7874015748031497" top="0.984251968503937" bottom="0.984251968503937" header="0.5118110236220472" footer="0.5118110236220472"/>
  <pageSetup cellComments="asDisplayed" orientation="portrait" paperSize="9" r:id="rId3"/>
  <headerFooter alignWithMargins="0">
    <oddHeader>&amp;L&amp;"Century,斜体"&amp;10SystemKOMACO&amp;RExcel：&amp;A</oddHeader>
    <oddFooter>&amp;L2005/2&amp;C&amp;P/&amp;N</oddFooter>
  </headerFooter>
  <rowBreaks count="1" manualBreakCount="1">
    <brk id="47" max="255" man="1"/>
  </rowBreaks>
  <ignoredErrors>
    <ignoredError sqref="D66" formulaRange="1"/>
  </ignoredErrors>
  <drawing r:id="rId2"/>
  <legacyDrawing r:id="rId1"/>
</worksheet>
</file>

<file path=xl/worksheets/sheet24.xml><?xml version="1.0" encoding="utf-8"?>
<worksheet xmlns="http://schemas.openxmlformats.org/spreadsheetml/2006/main" xmlns:r="http://schemas.openxmlformats.org/officeDocument/2006/relationships">
  <sheetPr codeName="Sheet20"/>
  <dimension ref="A1:E30"/>
  <sheetViews>
    <sheetView workbookViewId="0" topLeftCell="A1">
      <selection activeCell="B1" sqref="B1"/>
    </sheetView>
  </sheetViews>
  <sheetFormatPr defaultColWidth="9.00390625" defaultRowHeight="13.5"/>
  <cols>
    <col min="2" max="5" width="19.375" style="0" customWidth="1"/>
  </cols>
  <sheetData>
    <row r="1" ht="31.5" customHeight="1">
      <c r="B1" s="1" t="s">
        <v>409</v>
      </c>
    </row>
    <row r="3" spans="1:5" ht="13.5">
      <c r="A3" s="40" t="s">
        <v>652</v>
      </c>
      <c r="B3" s="502" t="s">
        <v>541</v>
      </c>
      <c r="C3" s="503"/>
      <c r="D3" s="503"/>
      <c r="E3" s="503"/>
    </row>
    <row r="4" spans="1:5" ht="13.5">
      <c r="A4" s="41"/>
      <c r="B4" s="516"/>
      <c r="C4" s="455"/>
      <c r="D4" s="455"/>
      <c r="E4" s="455"/>
    </row>
    <row r="5" spans="1:5" ht="13.5">
      <c r="A5" s="41"/>
      <c r="B5" s="516"/>
      <c r="C5" s="455"/>
      <c r="D5" s="455"/>
      <c r="E5" s="455"/>
    </row>
    <row r="6" spans="2:5" ht="13.5">
      <c r="B6" s="4"/>
      <c r="C6" s="4"/>
      <c r="D6" s="4"/>
      <c r="E6" s="4"/>
    </row>
    <row r="7" spans="1:5" ht="13.5">
      <c r="A7" s="42" t="s">
        <v>631</v>
      </c>
      <c r="B7" s="472" t="s">
        <v>534</v>
      </c>
      <c r="C7" s="473"/>
      <c r="D7" s="473"/>
      <c r="E7" s="474"/>
    </row>
    <row r="9" spans="1:5" ht="13.5">
      <c r="A9" s="35" t="s">
        <v>655</v>
      </c>
      <c r="B9" s="526" t="s">
        <v>535</v>
      </c>
      <c r="C9" s="518"/>
      <c r="D9" s="518"/>
      <c r="E9" s="518"/>
    </row>
    <row r="10" spans="1:5" ht="13.5">
      <c r="A10" s="36"/>
      <c r="B10" s="527"/>
      <c r="C10" s="518"/>
      <c r="D10" s="518"/>
      <c r="E10" s="518"/>
    </row>
    <row r="11" spans="1:5" ht="13.5">
      <c r="A11" s="36"/>
      <c r="B11" s="528"/>
      <c r="C11" s="455"/>
      <c r="D11" s="455"/>
      <c r="E11" s="455"/>
    </row>
    <row r="12" spans="1:5" ht="13.5">
      <c r="A12" s="36"/>
      <c r="B12" s="528"/>
      <c r="C12" s="455"/>
      <c r="D12" s="455"/>
      <c r="E12" s="455"/>
    </row>
    <row r="13" spans="1:5" ht="13.5">
      <c r="A13" s="36"/>
      <c r="B13" s="528"/>
      <c r="C13" s="455"/>
      <c r="D13" s="455"/>
      <c r="E13" s="455"/>
    </row>
    <row r="14" spans="1:5" ht="16.5" customHeight="1">
      <c r="A14" s="7"/>
      <c r="B14" s="517" t="s">
        <v>536</v>
      </c>
      <c r="C14" s="518"/>
      <c r="D14" s="518"/>
      <c r="E14" s="518"/>
    </row>
    <row r="15" spans="1:5" ht="16.5" customHeight="1">
      <c r="A15" s="7"/>
      <c r="B15" s="519"/>
      <c r="C15" s="518"/>
      <c r="D15" s="518"/>
      <c r="E15" s="518"/>
    </row>
    <row r="16" spans="1:5" ht="16.5" customHeight="1">
      <c r="A16" s="7"/>
      <c r="B16" s="541" t="s">
        <v>537</v>
      </c>
      <c r="C16" s="534" t="s">
        <v>538</v>
      </c>
      <c r="D16" s="534"/>
      <c r="E16" s="535"/>
    </row>
    <row r="17" spans="1:5" ht="16.5" customHeight="1">
      <c r="A17" s="7"/>
      <c r="B17" s="481"/>
      <c r="C17" s="534"/>
      <c r="D17" s="534"/>
      <c r="E17" s="535"/>
    </row>
    <row r="18" spans="1:5" ht="16.5" customHeight="1">
      <c r="A18" s="7"/>
      <c r="B18" s="481"/>
      <c r="C18" s="534"/>
      <c r="D18" s="534"/>
      <c r="E18" s="535"/>
    </row>
    <row r="19" spans="1:5" ht="16.5" customHeight="1">
      <c r="A19" s="7"/>
      <c r="B19" s="481"/>
      <c r="C19" s="534"/>
      <c r="D19" s="534"/>
      <c r="E19" s="535"/>
    </row>
    <row r="20" spans="1:5" ht="16.5" customHeight="1">
      <c r="A20" s="7"/>
      <c r="B20" s="542" t="b">
        <v>1</v>
      </c>
      <c r="C20" s="536" t="s">
        <v>539</v>
      </c>
      <c r="D20" s="537"/>
      <c r="E20" s="538"/>
    </row>
    <row r="21" spans="1:5" ht="16.5" customHeight="1">
      <c r="A21" s="7"/>
      <c r="B21" s="543"/>
      <c r="C21" s="539"/>
      <c r="D21" s="539"/>
      <c r="E21" s="540"/>
    </row>
    <row r="22" spans="2:3" ht="16.5" customHeight="1">
      <c r="B22" s="122"/>
      <c r="C22" s="10"/>
    </row>
    <row r="23" spans="1:5" ht="16.5" customHeight="1">
      <c r="A23" s="10"/>
      <c r="B23" s="130" t="s">
        <v>882</v>
      </c>
      <c r="C23" s="11"/>
      <c r="D23" s="11"/>
      <c r="E23" s="159"/>
    </row>
    <row r="24" spans="1:5" ht="16.5" customHeight="1">
      <c r="A24" s="10"/>
      <c r="B24" s="514" t="s">
        <v>660</v>
      </c>
      <c r="C24" s="515"/>
      <c r="D24" s="150" t="s">
        <v>661</v>
      </c>
      <c r="E24" s="240" t="s">
        <v>353</v>
      </c>
    </row>
    <row r="25" spans="1:5" ht="16.5" customHeight="1">
      <c r="A25" s="10"/>
      <c r="B25" s="429" t="s">
        <v>540</v>
      </c>
      <c r="C25" s="458"/>
      <c r="D25" s="153">
        <f>DAYS360("2005/2/1","2005/4/30")</f>
        <v>89</v>
      </c>
      <c r="E25" s="241" t="s">
        <v>545</v>
      </c>
    </row>
    <row r="26" spans="1:5" ht="16.5" customHeight="1">
      <c r="A26" s="10"/>
      <c r="B26" s="429" t="s">
        <v>544</v>
      </c>
      <c r="C26" s="458"/>
      <c r="D26" s="153">
        <f>DAYS360("2005/2/1","2005/4/30",TRUE)</f>
        <v>89</v>
      </c>
      <c r="E26" s="241" t="s">
        <v>546</v>
      </c>
    </row>
    <row r="27" spans="2:5" ht="16.5" customHeight="1">
      <c r="B27" s="429" t="s">
        <v>549</v>
      </c>
      <c r="C27" s="458"/>
      <c r="D27" s="153">
        <f>DAYS360("2005/3/1","2005/5/31")</f>
        <v>90</v>
      </c>
      <c r="E27" s="241" t="s">
        <v>545</v>
      </c>
    </row>
    <row r="28" spans="2:5" ht="16.5" customHeight="1">
      <c r="B28" s="429" t="s">
        <v>543</v>
      </c>
      <c r="C28" s="458"/>
      <c r="D28" s="153">
        <f>DAYS360("2005/3/1","2005/5/31",TRUE)</f>
        <v>89</v>
      </c>
      <c r="E28" s="241" t="s">
        <v>546</v>
      </c>
    </row>
    <row r="29" spans="2:5" ht="16.5" customHeight="1">
      <c r="B29" s="429" t="s">
        <v>548</v>
      </c>
      <c r="C29" s="458"/>
      <c r="D29" s="153">
        <f>DAYS360("2005/1/1","2005/12/31")</f>
        <v>360</v>
      </c>
      <c r="E29" s="241" t="s">
        <v>545</v>
      </c>
    </row>
    <row r="30" spans="2:5" ht="13.5">
      <c r="B30" s="429" t="s">
        <v>547</v>
      </c>
      <c r="C30" s="458"/>
      <c r="D30" s="153">
        <f>DAYS360("2005/1/1","2005/12/31",TRUE)</f>
        <v>359</v>
      </c>
      <c r="E30" s="241" t="s">
        <v>546</v>
      </c>
    </row>
  </sheetData>
  <mergeCells count="15">
    <mergeCell ref="B28:C28"/>
    <mergeCell ref="B29:C29"/>
    <mergeCell ref="B30:C30"/>
    <mergeCell ref="B24:C24"/>
    <mergeCell ref="B25:C25"/>
    <mergeCell ref="B26:C26"/>
    <mergeCell ref="B27:C27"/>
    <mergeCell ref="C16:E19"/>
    <mergeCell ref="C20:E21"/>
    <mergeCell ref="B16:B19"/>
    <mergeCell ref="B20:B21"/>
    <mergeCell ref="B7:E7"/>
    <mergeCell ref="B3:E5"/>
    <mergeCell ref="B9:E13"/>
    <mergeCell ref="B14:E15"/>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&amp;L2005/2&amp;C&amp;P/&amp;N</oddFooter>
  </headerFooter>
  <drawing r:id="rId1"/>
</worksheet>
</file>

<file path=xl/worksheets/sheet25.xml><?xml version="1.0" encoding="utf-8"?>
<worksheet xmlns="http://schemas.openxmlformats.org/spreadsheetml/2006/main" xmlns:r="http://schemas.openxmlformats.org/officeDocument/2006/relationships">
  <sheetPr codeName="Sheet24"/>
  <dimension ref="A1:E48"/>
  <sheetViews>
    <sheetView workbookViewId="0" topLeftCell="A1">
      <selection activeCell="B1" sqref="B1"/>
    </sheetView>
  </sheetViews>
  <sheetFormatPr defaultColWidth="9.00390625" defaultRowHeight="13.5"/>
  <cols>
    <col min="2" max="5" width="19.375" style="0" customWidth="1"/>
  </cols>
  <sheetData>
    <row r="1" ht="31.5" customHeight="1">
      <c r="B1" s="1" t="s">
        <v>410</v>
      </c>
    </row>
    <row r="3" spans="1:5" ht="13.5">
      <c r="A3" s="271" t="s">
        <v>652</v>
      </c>
      <c r="B3" s="502" t="s">
        <v>551</v>
      </c>
      <c r="C3" s="503"/>
      <c r="D3" s="503"/>
      <c r="E3" s="503"/>
    </row>
    <row r="4" spans="1:5" ht="13.5">
      <c r="A4" s="203"/>
      <c r="B4" s="516"/>
      <c r="C4" s="521"/>
      <c r="D4" s="521"/>
      <c r="E4" s="521"/>
    </row>
    <row r="5" spans="1:5" ht="13.5">
      <c r="A5" s="203"/>
      <c r="B5" s="516"/>
      <c r="C5" s="521"/>
      <c r="D5" s="521"/>
      <c r="E5" s="521"/>
    </row>
    <row r="6" spans="1:5" ht="13.5">
      <c r="A6" s="203"/>
      <c r="B6" s="516"/>
      <c r="C6" s="521"/>
      <c r="D6" s="521"/>
      <c r="E6" s="521"/>
    </row>
    <row r="7" spans="1:5" ht="13.5">
      <c r="A7" s="203"/>
      <c r="B7" s="516"/>
      <c r="C7" s="521"/>
      <c r="D7" s="521"/>
      <c r="E7" s="521"/>
    </row>
    <row r="8" spans="2:5" ht="13.5">
      <c r="B8" s="4"/>
      <c r="C8" s="4"/>
      <c r="D8" s="4"/>
      <c r="E8" s="4"/>
    </row>
    <row r="9" spans="1:5" ht="13.5">
      <c r="A9" s="42" t="s">
        <v>631</v>
      </c>
      <c r="B9" s="472" t="s">
        <v>553</v>
      </c>
      <c r="C9" s="473"/>
      <c r="D9" s="473"/>
      <c r="E9" s="474"/>
    </row>
    <row r="11" spans="1:5" ht="13.5">
      <c r="A11" s="35" t="s">
        <v>655</v>
      </c>
      <c r="B11" s="475" t="s">
        <v>583</v>
      </c>
      <c r="C11" s="458"/>
      <c r="D11" s="458"/>
      <c r="E11" s="458"/>
    </row>
    <row r="12" spans="1:5" ht="13.5">
      <c r="A12" s="36"/>
      <c r="B12" s="526" t="s">
        <v>582</v>
      </c>
      <c r="C12" s="455"/>
      <c r="D12" s="455"/>
      <c r="E12" s="455"/>
    </row>
    <row r="13" spans="1:5" ht="13.5">
      <c r="A13" s="36"/>
      <c r="B13" s="526" t="s">
        <v>554</v>
      </c>
      <c r="C13" s="455"/>
      <c r="D13" s="455"/>
      <c r="E13" s="455"/>
    </row>
    <row r="14" spans="1:5" ht="13.5">
      <c r="A14" s="36"/>
      <c r="B14" s="295" t="s">
        <v>556</v>
      </c>
      <c r="C14" s="549" t="s">
        <v>555</v>
      </c>
      <c r="D14" s="550"/>
      <c r="E14" s="550"/>
    </row>
    <row r="15" spans="1:5" ht="13.5">
      <c r="A15" s="36"/>
      <c r="B15" s="292" t="s">
        <v>557</v>
      </c>
      <c r="C15" s="544" t="s">
        <v>558</v>
      </c>
      <c r="D15" s="545"/>
      <c r="E15" s="545"/>
    </row>
    <row r="16" spans="1:5" ht="16.5" customHeight="1">
      <c r="A16" s="7"/>
      <c r="B16" s="293">
        <v>1</v>
      </c>
      <c r="C16" s="538" t="s">
        <v>559</v>
      </c>
      <c r="D16" s="547"/>
      <c r="E16" s="547"/>
    </row>
    <row r="17" spans="1:5" ht="16.5" customHeight="1">
      <c r="A17" s="7"/>
      <c r="B17" s="294">
        <v>2</v>
      </c>
      <c r="C17" s="538" t="s">
        <v>560</v>
      </c>
      <c r="D17" s="547"/>
      <c r="E17" s="547"/>
    </row>
    <row r="18" spans="1:5" ht="16.5" customHeight="1">
      <c r="A18" s="7"/>
      <c r="B18" s="294">
        <v>3</v>
      </c>
      <c r="C18" s="535" t="s">
        <v>561</v>
      </c>
      <c r="D18" s="548"/>
      <c r="E18" s="548"/>
    </row>
    <row r="19" spans="1:5" ht="16.5" customHeight="1">
      <c r="A19" s="7"/>
      <c r="B19" s="298">
        <v>4</v>
      </c>
      <c r="C19" s="546" t="s">
        <v>562</v>
      </c>
      <c r="D19" s="547"/>
      <c r="E19" s="547"/>
    </row>
    <row r="20" spans="1:5" ht="16.5" customHeight="1">
      <c r="A20" s="7"/>
      <c r="B20" s="553" t="s">
        <v>581</v>
      </c>
      <c r="C20" s="521"/>
      <c r="D20" s="521"/>
      <c r="E20" s="521"/>
    </row>
    <row r="21" spans="1:5" ht="16.5" customHeight="1">
      <c r="A21" s="10"/>
      <c r="B21" s="17"/>
      <c r="C21" s="12"/>
      <c r="D21" s="11"/>
      <c r="E21" s="11"/>
    </row>
    <row r="22" spans="1:5" ht="16.5" customHeight="1">
      <c r="A22" s="10"/>
      <c r="B22" s="130" t="s">
        <v>882</v>
      </c>
      <c r="C22" s="11"/>
      <c r="D22" s="11"/>
      <c r="E22" s="159"/>
    </row>
    <row r="23" spans="1:5" ht="16.5" customHeight="1">
      <c r="A23" s="10"/>
      <c r="B23" s="514" t="s">
        <v>660</v>
      </c>
      <c r="C23" s="515"/>
      <c r="D23" s="150" t="s">
        <v>661</v>
      </c>
      <c r="E23" s="240" t="s">
        <v>353</v>
      </c>
    </row>
    <row r="24" spans="1:5" ht="16.5" customHeight="1">
      <c r="A24" s="10"/>
      <c r="B24" s="429" t="s">
        <v>563</v>
      </c>
      <c r="C24" s="458"/>
      <c r="D24" s="153">
        <f>YEARFRAC("2005/2/1","2005/4/30")</f>
        <v>0.24722222222222223</v>
      </c>
      <c r="E24" s="241" t="s">
        <v>570</v>
      </c>
    </row>
    <row r="25" spans="1:5" ht="16.5" customHeight="1">
      <c r="A25" s="10"/>
      <c r="B25" s="429" t="s">
        <v>564</v>
      </c>
      <c r="C25" s="458"/>
      <c r="D25" s="153">
        <f>YEARFRAC("2005/2/1","2005/4/30",1)</f>
        <v>0.2410958904109589</v>
      </c>
      <c r="E25" s="241" t="s">
        <v>571</v>
      </c>
    </row>
    <row r="26" spans="2:5" ht="16.5" customHeight="1">
      <c r="B26" s="429" t="s">
        <v>565</v>
      </c>
      <c r="C26" s="458"/>
      <c r="D26" s="153">
        <f>YEARFRAC("2005/2/1","2005/4/30",2)</f>
        <v>0.24444444444444444</v>
      </c>
      <c r="E26" s="241" t="s">
        <v>572</v>
      </c>
    </row>
    <row r="27" spans="2:5" ht="16.5" customHeight="1">
      <c r="B27" s="429" t="s">
        <v>566</v>
      </c>
      <c r="C27" s="458"/>
      <c r="D27" s="153">
        <f>YEARFRAC("2005/2/1","2005/4/30",3)</f>
        <v>0.2410958904109589</v>
      </c>
      <c r="E27" s="241" t="s">
        <v>573</v>
      </c>
    </row>
    <row r="28" spans="2:5" ht="16.5" customHeight="1">
      <c r="B28" s="429" t="s">
        <v>567</v>
      </c>
      <c r="C28" s="458"/>
      <c r="D28" s="153">
        <f>YEARFRAC("2005/2/1","2005/4/30",4)</f>
        <v>0.24722222222222223</v>
      </c>
      <c r="E28" s="241" t="s">
        <v>574</v>
      </c>
    </row>
    <row r="29" spans="2:5" ht="13.5" customHeight="1">
      <c r="B29" s="429" t="s">
        <v>568</v>
      </c>
      <c r="C29" s="458"/>
      <c r="D29" s="153" t="e">
        <f>YEARFRAC("2005/2/1","2005/4/30",5)</f>
        <v>#NUM!</v>
      </c>
      <c r="E29" s="241" t="s">
        <v>569</v>
      </c>
    </row>
    <row r="30" spans="2:5" ht="13.5" customHeight="1">
      <c r="B30" s="429" t="s">
        <v>584</v>
      </c>
      <c r="C30" s="458"/>
      <c r="D30" s="153" t="e">
        <f>YEARFRAC("2005/2/1","2005/-4/30")</f>
        <v>#VALUE!</v>
      </c>
      <c r="E30" s="241" t="s">
        <v>585</v>
      </c>
    </row>
    <row r="31" spans="1:5" ht="16.5" customHeight="1">
      <c r="A31" s="10"/>
      <c r="B31" s="17"/>
      <c r="C31" s="12"/>
      <c r="D31" s="11"/>
      <c r="E31" s="11"/>
    </row>
    <row r="32" spans="1:5" ht="16.5" customHeight="1">
      <c r="A32" s="10"/>
      <c r="B32" s="429" t="s">
        <v>575</v>
      </c>
      <c r="C32" s="458"/>
      <c r="D32" s="153">
        <f>YEARFRAC("2005/1/1","2005/12/31")</f>
        <v>1</v>
      </c>
      <c r="E32" s="241" t="s">
        <v>570</v>
      </c>
    </row>
    <row r="33" spans="1:5" ht="16.5" customHeight="1">
      <c r="A33" s="10"/>
      <c r="B33" s="554" t="s">
        <v>576</v>
      </c>
      <c r="C33" s="555"/>
      <c r="D33" s="153">
        <f>YEARFRAC("2005/1/1","2005/12/31",1)</f>
        <v>0.9972602739726028</v>
      </c>
      <c r="E33" s="241" t="s">
        <v>571</v>
      </c>
    </row>
    <row r="34" spans="1:5" ht="16.5" customHeight="1">
      <c r="A34" s="10"/>
      <c r="B34" s="554" t="s">
        <v>577</v>
      </c>
      <c r="C34" s="555"/>
      <c r="D34" s="153">
        <f>YEARFRAC("2005/1/1","2005/12/31",2)</f>
        <v>1.011111111111111</v>
      </c>
      <c r="E34" s="241" t="s">
        <v>572</v>
      </c>
    </row>
    <row r="35" spans="2:5" ht="16.5" customHeight="1">
      <c r="B35" s="554" t="s">
        <v>578</v>
      </c>
      <c r="C35" s="555"/>
      <c r="D35" s="153">
        <f>YEARFRAC("2005/1/1","2005/12/31",3)</f>
        <v>0.9972602739726028</v>
      </c>
      <c r="E35" s="241" t="s">
        <v>573</v>
      </c>
    </row>
    <row r="36" spans="2:5" ht="16.5" customHeight="1">
      <c r="B36" s="554" t="s">
        <v>579</v>
      </c>
      <c r="C36" s="555"/>
      <c r="D36" s="153">
        <f>YEARFRAC("2005/1/1","2005/12/31",4)</f>
        <v>0.9972222222222222</v>
      </c>
      <c r="E36" s="241" t="s">
        <v>574</v>
      </c>
    </row>
    <row r="37" spans="2:3" ht="16.5" customHeight="1">
      <c r="B37" s="17"/>
      <c r="C37" s="124"/>
    </row>
    <row r="38" spans="2:3" ht="16.5" customHeight="1">
      <c r="B38" s="166" t="s">
        <v>580</v>
      </c>
      <c r="C38" s="10"/>
    </row>
    <row r="39" spans="2:3" ht="16.5" customHeight="1">
      <c r="B39" s="297" t="s">
        <v>646</v>
      </c>
      <c r="C39" s="244">
        <v>38443</v>
      </c>
    </row>
    <row r="40" spans="2:3" ht="16.5" customHeight="1">
      <c r="B40" s="297" t="s">
        <v>648</v>
      </c>
      <c r="C40" s="244">
        <v>38533</v>
      </c>
    </row>
    <row r="41" spans="2:3" ht="16.5" customHeight="1">
      <c r="B41" s="297" t="s">
        <v>556</v>
      </c>
      <c r="C41" s="296">
        <v>2</v>
      </c>
    </row>
    <row r="42" spans="2:4" ht="16.5" customHeight="1">
      <c r="B42" s="552" t="s">
        <v>150</v>
      </c>
      <c r="C42" s="552"/>
      <c r="D42" s="137">
        <f>YEARFRAC(C39,C40,C41)</f>
        <v>0.25</v>
      </c>
    </row>
    <row r="44" ht="13.5">
      <c r="B44" s="400" t="s">
        <v>770</v>
      </c>
    </row>
    <row r="45" spans="2:5" ht="13.5">
      <c r="B45" s="297" t="s">
        <v>771</v>
      </c>
      <c r="C45" s="297" t="s">
        <v>646</v>
      </c>
      <c r="D45" s="297" t="s">
        <v>648</v>
      </c>
      <c r="E45" s="137" t="s">
        <v>772</v>
      </c>
    </row>
    <row r="46" spans="2:5" ht="13.5">
      <c r="B46" s="402">
        <v>6500000</v>
      </c>
      <c r="C46" s="244">
        <v>38534</v>
      </c>
      <c r="D46" s="244">
        <v>38625</v>
      </c>
      <c r="E46" s="401">
        <f>B46*YEARFRAC(C46,D46,3)</f>
        <v>1620547.9452054794</v>
      </c>
    </row>
    <row r="48" spans="2:4" ht="13.5">
      <c r="B48" s="151" t="s">
        <v>660</v>
      </c>
      <c r="C48" s="511" t="s">
        <v>773</v>
      </c>
      <c r="D48" s="551"/>
    </row>
  </sheetData>
  <mergeCells count="27">
    <mergeCell ref="C48:D48"/>
    <mergeCell ref="B42:C42"/>
    <mergeCell ref="B20:E20"/>
    <mergeCell ref="B30:C30"/>
    <mergeCell ref="B33:C33"/>
    <mergeCell ref="B34:C34"/>
    <mergeCell ref="B35:C35"/>
    <mergeCell ref="B36:C36"/>
    <mergeCell ref="B27:C27"/>
    <mergeCell ref="B28:C28"/>
    <mergeCell ref="B29:C29"/>
    <mergeCell ref="B32:C32"/>
    <mergeCell ref="B23:C23"/>
    <mergeCell ref="B24:C24"/>
    <mergeCell ref="B25:C25"/>
    <mergeCell ref="B26:C26"/>
    <mergeCell ref="B13:E13"/>
    <mergeCell ref="C15:E15"/>
    <mergeCell ref="C19:E19"/>
    <mergeCell ref="C18:E18"/>
    <mergeCell ref="C17:E17"/>
    <mergeCell ref="C16:E16"/>
    <mergeCell ref="C14:E14"/>
    <mergeCell ref="B9:E9"/>
    <mergeCell ref="B3:E7"/>
    <mergeCell ref="B11:E11"/>
    <mergeCell ref="B12:E12"/>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&amp;L2005/2&amp;C&amp;P/&amp;N</oddFooter>
  </headerFooter>
  <drawing r:id="rId1"/>
</worksheet>
</file>

<file path=xl/worksheets/sheet26.xml><?xml version="1.0" encoding="utf-8"?>
<worksheet xmlns="http://schemas.openxmlformats.org/spreadsheetml/2006/main" xmlns:r="http://schemas.openxmlformats.org/officeDocument/2006/relationships">
  <sheetPr codeName="Sheet6"/>
  <dimension ref="A1:H102"/>
  <sheetViews>
    <sheetView tabSelected="1" workbookViewId="0" topLeftCell="A49">
      <selection activeCell="B1" sqref="B1"/>
    </sheetView>
  </sheetViews>
  <sheetFormatPr defaultColWidth="9.00390625" defaultRowHeight="13.5"/>
  <cols>
    <col min="2" max="5" width="19.375" style="0" customWidth="1"/>
  </cols>
  <sheetData>
    <row r="1" spans="1:2" ht="31.5" customHeight="1">
      <c r="A1" s="6"/>
      <c r="B1" s="1" t="s">
        <v>630</v>
      </c>
    </row>
    <row r="3" spans="1:5" ht="13.5">
      <c r="A3" s="40" t="s">
        <v>652</v>
      </c>
      <c r="B3" s="502" t="s">
        <v>692</v>
      </c>
      <c r="C3" s="503"/>
      <c r="D3" s="503"/>
      <c r="E3" s="503"/>
    </row>
    <row r="4" spans="1:5" ht="13.5">
      <c r="A4" s="41"/>
      <c r="B4" s="516"/>
      <c r="C4" s="455"/>
      <c r="D4" s="455"/>
      <c r="E4" s="455"/>
    </row>
    <row r="5" spans="1:5" ht="13.5">
      <c r="A5" s="41"/>
      <c r="B5" s="516"/>
      <c r="C5" s="455"/>
      <c r="D5" s="455"/>
      <c r="E5" s="455"/>
    </row>
    <row r="8" spans="1:5" ht="13.5">
      <c r="A8" s="8" t="s">
        <v>631</v>
      </c>
      <c r="B8" s="568" t="s">
        <v>632</v>
      </c>
      <c r="C8" s="569"/>
      <c r="D8" s="569"/>
      <c r="E8" s="569"/>
    </row>
    <row r="10" spans="1:5" ht="67.5" customHeight="1">
      <c r="A10" s="9" t="s">
        <v>655</v>
      </c>
      <c r="B10" s="48" t="s">
        <v>646</v>
      </c>
      <c r="C10" s="565" t="s">
        <v>647</v>
      </c>
      <c r="D10" s="565"/>
      <c r="E10" s="565"/>
    </row>
    <row r="11" spans="1:5" ht="13.5">
      <c r="A11" s="7"/>
      <c r="B11" s="49" t="s">
        <v>648</v>
      </c>
      <c r="C11" s="45" t="s">
        <v>649</v>
      </c>
      <c r="D11" s="45"/>
      <c r="E11" s="45"/>
    </row>
    <row r="12" spans="1:5" ht="13.5">
      <c r="A12" s="43"/>
      <c r="B12" s="50" t="s">
        <v>633</v>
      </c>
      <c r="C12" s="51" t="s">
        <v>634</v>
      </c>
      <c r="D12" s="7"/>
      <c r="E12" s="7"/>
    </row>
    <row r="13" spans="1:5" ht="13.5">
      <c r="A13" s="44"/>
      <c r="B13" s="46" t="s">
        <v>635</v>
      </c>
      <c r="C13" s="566" t="s">
        <v>636</v>
      </c>
      <c r="D13" s="567"/>
      <c r="E13" s="567"/>
    </row>
    <row r="14" spans="1:5" ht="13.5">
      <c r="A14" s="44"/>
      <c r="B14" s="47" t="s">
        <v>637</v>
      </c>
      <c r="C14" s="563" t="s">
        <v>638</v>
      </c>
      <c r="D14" s="564"/>
      <c r="E14" s="564"/>
    </row>
    <row r="15" spans="1:5" ht="13.5">
      <c r="A15" s="44"/>
      <c r="B15" s="47" t="s">
        <v>639</v>
      </c>
      <c r="C15" s="563" t="s">
        <v>640</v>
      </c>
      <c r="D15" s="564"/>
      <c r="E15" s="564"/>
    </row>
    <row r="16" spans="1:5" ht="13.5">
      <c r="A16" s="44"/>
      <c r="B16" s="47" t="s">
        <v>641</v>
      </c>
      <c r="C16" s="563" t="s">
        <v>651</v>
      </c>
      <c r="D16" s="564"/>
      <c r="E16" s="564"/>
    </row>
    <row r="17" spans="1:5" ht="13.5">
      <c r="A17" s="44"/>
      <c r="B17" s="47" t="s">
        <v>642</v>
      </c>
      <c r="C17" s="563" t="s">
        <v>643</v>
      </c>
      <c r="D17" s="564"/>
      <c r="E17" s="564"/>
    </row>
    <row r="18" spans="1:5" ht="13.5">
      <c r="A18" s="44"/>
      <c r="B18" s="47" t="s">
        <v>644</v>
      </c>
      <c r="C18" s="563" t="s">
        <v>645</v>
      </c>
      <c r="D18" s="564"/>
      <c r="E18" s="564"/>
    </row>
    <row r="20" spans="2:4" ht="13.5">
      <c r="B20" s="138" t="s">
        <v>660</v>
      </c>
      <c r="C20" s="15"/>
      <c r="D20" s="137" t="s">
        <v>661</v>
      </c>
    </row>
    <row r="21" spans="2:4" ht="13.5">
      <c r="B21" s="54" t="s">
        <v>693</v>
      </c>
      <c r="C21" s="54"/>
      <c r="D21" s="135">
        <f>DATEDIF("2001/1/1","2003/1/1","Y")</f>
        <v>2</v>
      </c>
    </row>
    <row r="22" spans="2:4" ht="13.5">
      <c r="B22" s="561" t="s">
        <v>694</v>
      </c>
      <c r="C22" s="562"/>
      <c r="D22" s="562"/>
    </row>
    <row r="23" spans="2:4" ht="13.5">
      <c r="B23" s="52"/>
      <c r="C23" s="53"/>
      <c r="D23" s="53"/>
    </row>
    <row r="24" spans="2:4" ht="13.5">
      <c r="B24" s="54" t="s">
        <v>698</v>
      </c>
      <c r="C24" s="55"/>
      <c r="D24" s="136">
        <f>DATEDIF("2001/6/1","2002/8/15","D")</f>
        <v>440</v>
      </c>
    </row>
    <row r="25" spans="2:5" ht="27" customHeight="1">
      <c r="B25" s="455" t="s">
        <v>695</v>
      </c>
      <c r="C25" s="455"/>
      <c r="D25" s="455"/>
      <c r="E25" s="455"/>
    </row>
    <row r="26" spans="2:5" ht="13.5">
      <c r="B26" s="3"/>
      <c r="C26" s="3"/>
      <c r="D26" s="3"/>
      <c r="E26" s="3"/>
    </row>
    <row r="27" spans="2:4" ht="13.5">
      <c r="B27" s="54" t="s">
        <v>696</v>
      </c>
      <c r="C27" s="55"/>
      <c r="D27" s="136">
        <f>DATEDIF("2001/6/1","2002/8/15","YD")</f>
        <v>75</v>
      </c>
    </row>
    <row r="28" spans="2:5" ht="27" customHeight="1">
      <c r="B28" s="458" t="s">
        <v>697</v>
      </c>
      <c r="C28" s="458"/>
      <c r="D28" s="458"/>
      <c r="E28" s="458"/>
    </row>
    <row r="29" spans="2:5" ht="13.5">
      <c r="B29" s="4"/>
      <c r="C29" s="4"/>
      <c r="D29" s="4"/>
      <c r="E29" s="4"/>
    </row>
    <row r="30" spans="2:4" ht="13.5">
      <c r="B30" s="54" t="s">
        <v>700</v>
      </c>
      <c r="C30" s="55"/>
      <c r="D30" s="136">
        <f>DATEDIF("2001/6/1","2002/8/15","MD")</f>
        <v>14</v>
      </c>
    </row>
    <row r="31" spans="2:5" ht="27" customHeight="1">
      <c r="B31" s="455" t="s">
        <v>699</v>
      </c>
      <c r="C31" s="455"/>
      <c r="D31" s="455"/>
      <c r="E31" s="455"/>
    </row>
    <row r="32" spans="2:5" ht="13.5">
      <c r="B32" s="3"/>
      <c r="C32" s="3"/>
      <c r="D32" s="3"/>
      <c r="E32" s="3"/>
    </row>
    <row r="33" spans="2:5" ht="27" customHeight="1" thickBot="1">
      <c r="B33" s="430" t="s">
        <v>145</v>
      </c>
      <c r="C33" s="430"/>
      <c r="D33" s="430"/>
      <c r="E33" s="430"/>
    </row>
    <row r="34" spans="2:5" ht="13.5">
      <c r="B34" s="56" t="s">
        <v>646</v>
      </c>
      <c r="C34" s="57" t="s">
        <v>648</v>
      </c>
      <c r="D34" s="58" t="s">
        <v>702</v>
      </c>
      <c r="E34" s="10"/>
    </row>
    <row r="35" spans="2:5" ht="14.25" thickBot="1">
      <c r="B35" s="59">
        <v>37469</v>
      </c>
      <c r="C35" s="60">
        <v>38393</v>
      </c>
      <c r="D35" s="139" t="str">
        <f>DATEDIF(B35,C35,"Y")&amp;"年"&amp;DATEDIF(B35,C35,"YM")&amp;"ヶ月"&amp;DATEDIF(B35,C35,"MD")&amp;"日"</f>
        <v>2年6ヶ月9日</v>
      </c>
      <c r="E35" s="10"/>
    </row>
    <row r="36" spans="2:5" ht="13.5">
      <c r="B36" s="464" t="s">
        <v>701</v>
      </c>
      <c r="C36" s="465"/>
      <c r="D36" s="465"/>
      <c r="E36" s="465"/>
    </row>
    <row r="37" spans="2:5" ht="13.5">
      <c r="B37" s="465"/>
      <c r="C37" s="465"/>
      <c r="D37" s="465"/>
      <c r="E37" s="465"/>
    </row>
    <row r="49" ht="14.25">
      <c r="A49" s="63" t="s">
        <v>708</v>
      </c>
    </row>
    <row r="50" spans="1:5" ht="14.25">
      <c r="A50" s="63"/>
      <c r="B50" s="458" t="s">
        <v>725</v>
      </c>
      <c r="C50" s="458"/>
      <c r="D50" s="458"/>
      <c r="E50" s="458"/>
    </row>
    <row r="51" spans="1:5" ht="14.25">
      <c r="A51" s="63"/>
      <c r="B51" s="458"/>
      <c r="C51" s="458"/>
      <c r="D51" s="458"/>
      <c r="E51" s="458"/>
    </row>
    <row r="52" ht="14.25">
      <c r="A52" s="63"/>
    </row>
    <row r="53" spans="2:4" ht="13.5">
      <c r="B53" s="82" t="s">
        <v>703</v>
      </c>
      <c r="C53" s="34"/>
      <c r="D53" s="34"/>
    </row>
    <row r="54" spans="2:4" ht="13.5">
      <c r="B54" s="82"/>
      <c r="C54" s="34"/>
      <c r="D54" s="34"/>
    </row>
    <row r="55" spans="2:4" ht="13.5">
      <c r="B55" s="87" t="s">
        <v>704</v>
      </c>
      <c r="C55" s="88">
        <v>38442</v>
      </c>
      <c r="D55" s="61"/>
    </row>
    <row r="56" spans="2:4" ht="14.25" thickBot="1">
      <c r="B56" s="62"/>
      <c r="C56" s="61"/>
      <c r="D56" s="61"/>
    </row>
    <row r="57" spans="2:8" ht="13.5">
      <c r="B57" s="67" t="s">
        <v>705</v>
      </c>
      <c r="C57" s="68" t="s">
        <v>706</v>
      </c>
      <c r="D57" s="68" t="s">
        <v>707</v>
      </c>
      <c r="E57" s="69" t="s">
        <v>722</v>
      </c>
      <c r="H57" s="93"/>
    </row>
    <row r="58" spans="2:8" ht="13.5">
      <c r="B58" s="70" t="s">
        <v>709</v>
      </c>
      <c r="C58" s="71">
        <v>36249</v>
      </c>
      <c r="D58" s="72">
        <f aca="true" t="shared" si="0" ref="D58:D63">DATEDIF(C58,$C$55+1,"Y")</f>
        <v>6</v>
      </c>
      <c r="E58" s="73" t="s">
        <v>723</v>
      </c>
      <c r="H58" s="93"/>
    </row>
    <row r="59" spans="2:8" ht="13.5">
      <c r="B59" s="70" t="s">
        <v>710</v>
      </c>
      <c r="C59" s="71">
        <v>36250</v>
      </c>
      <c r="D59" s="72">
        <f t="shared" si="0"/>
        <v>6</v>
      </c>
      <c r="E59" s="73" t="s">
        <v>723</v>
      </c>
      <c r="H59" s="93"/>
    </row>
    <row r="60" spans="2:5" ht="13.5">
      <c r="B60" s="70" t="s">
        <v>711</v>
      </c>
      <c r="C60" s="71">
        <v>36251</v>
      </c>
      <c r="D60" s="72">
        <f t="shared" si="0"/>
        <v>6</v>
      </c>
      <c r="E60" s="73" t="s">
        <v>723</v>
      </c>
    </row>
    <row r="61" spans="2:5" ht="13.5">
      <c r="B61" s="74" t="s">
        <v>712</v>
      </c>
      <c r="C61" s="75">
        <v>36252</v>
      </c>
      <c r="D61" s="76">
        <f t="shared" si="0"/>
        <v>5</v>
      </c>
      <c r="E61" s="77" t="s">
        <v>724</v>
      </c>
    </row>
    <row r="62" spans="2:5" ht="13.5">
      <c r="B62" s="74" t="s">
        <v>713</v>
      </c>
      <c r="C62" s="75">
        <v>36253</v>
      </c>
      <c r="D62" s="76">
        <f t="shared" si="0"/>
        <v>5</v>
      </c>
      <c r="E62" s="77" t="s">
        <v>724</v>
      </c>
    </row>
    <row r="63" spans="2:5" ht="14.25" thickBot="1">
      <c r="B63" s="78" t="s">
        <v>714</v>
      </c>
      <c r="C63" s="79">
        <v>36254</v>
      </c>
      <c r="D63" s="80">
        <f t="shared" si="0"/>
        <v>5</v>
      </c>
      <c r="E63" s="81" t="s">
        <v>724</v>
      </c>
    </row>
    <row r="66" ht="13.5">
      <c r="B66" s="64" t="s">
        <v>715</v>
      </c>
    </row>
    <row r="67" ht="13.5">
      <c r="B67" t="s">
        <v>716</v>
      </c>
    </row>
    <row r="68" ht="13.5">
      <c r="B68" t="s">
        <v>717</v>
      </c>
    </row>
    <row r="69" ht="13.5">
      <c r="B69" t="s">
        <v>718</v>
      </c>
    </row>
    <row r="71" ht="13.5">
      <c r="B71" s="65" t="s">
        <v>719</v>
      </c>
    </row>
    <row r="72" ht="13.5">
      <c r="B72" t="s">
        <v>720</v>
      </c>
    </row>
    <row r="73" spans="2:5" ht="13.5">
      <c r="B73" s="458" t="s">
        <v>721</v>
      </c>
      <c r="C73" s="458"/>
      <c r="D73" s="458"/>
      <c r="E73" s="458"/>
    </row>
    <row r="74" spans="2:5" ht="13.5">
      <c r="B74" s="458"/>
      <c r="C74" s="458"/>
      <c r="D74" s="458"/>
      <c r="E74" s="458"/>
    </row>
    <row r="75" spans="2:5" ht="13.5">
      <c r="B75" s="458"/>
      <c r="C75" s="458"/>
      <c r="D75" s="458"/>
      <c r="E75" s="458"/>
    </row>
    <row r="76" spans="2:5" ht="13.5">
      <c r="B76" s="4"/>
      <c r="C76" s="4"/>
      <c r="D76" s="4"/>
      <c r="E76" s="4"/>
    </row>
    <row r="78" ht="13.5">
      <c r="B78" s="83" t="s">
        <v>726</v>
      </c>
    </row>
    <row r="80" spans="2:3" ht="13.5">
      <c r="B80" s="85" t="s">
        <v>727</v>
      </c>
      <c r="C80" s="86">
        <v>20961</v>
      </c>
    </row>
    <row r="81" spans="2:3" ht="14.25" thickBot="1">
      <c r="B81" s="15"/>
      <c r="C81" s="5"/>
    </row>
    <row r="82" spans="2:5" ht="13.5">
      <c r="B82" s="89" t="s">
        <v>729</v>
      </c>
      <c r="C82" s="560" t="s">
        <v>730</v>
      </c>
      <c r="D82" s="560"/>
      <c r="E82" s="90" t="s">
        <v>728</v>
      </c>
    </row>
    <row r="83" spans="1:5" ht="13.5">
      <c r="A83" s="53" t="s">
        <v>816</v>
      </c>
      <c r="B83" s="91">
        <v>38492</v>
      </c>
      <c r="C83" s="556" t="s">
        <v>146</v>
      </c>
      <c r="D83" s="557"/>
      <c r="E83" s="140">
        <f>DATEDIF($C$80,B83,"Y")</f>
        <v>47</v>
      </c>
    </row>
    <row r="84" spans="1:5" ht="13.5">
      <c r="A84" s="53" t="s">
        <v>817</v>
      </c>
      <c r="B84" s="91">
        <v>38492</v>
      </c>
      <c r="C84" s="556" t="s">
        <v>147</v>
      </c>
      <c r="D84" s="557"/>
      <c r="E84" s="140">
        <f>DATEDIF($C$80,B84+1,"Y")</f>
        <v>48</v>
      </c>
    </row>
    <row r="85" spans="1:5" ht="13.5">
      <c r="A85" s="53" t="s">
        <v>818</v>
      </c>
      <c r="B85" s="91">
        <v>38493</v>
      </c>
      <c r="C85" s="556" t="s">
        <v>148</v>
      </c>
      <c r="D85" s="557"/>
      <c r="E85" s="140">
        <f>DATEDIF($C$80,B85,"Y")</f>
        <v>48</v>
      </c>
    </row>
    <row r="86" spans="1:5" ht="14.25" thickBot="1">
      <c r="A86" s="53" t="s">
        <v>819</v>
      </c>
      <c r="B86" s="92">
        <v>38493</v>
      </c>
      <c r="C86" s="558" t="s">
        <v>149</v>
      </c>
      <c r="D86" s="559"/>
      <c r="E86" s="141">
        <f>DATEDIF($C$80,B86+1,"Y")</f>
        <v>48</v>
      </c>
    </row>
    <row r="88" ht="13.5">
      <c r="B88" t="s">
        <v>820</v>
      </c>
    </row>
    <row r="89" ht="13.5">
      <c r="B89" t="s">
        <v>821</v>
      </c>
    </row>
    <row r="90" ht="13.5">
      <c r="B90" t="s">
        <v>822</v>
      </c>
    </row>
    <row r="91" ht="13.5">
      <c r="B91" t="s">
        <v>823</v>
      </c>
    </row>
    <row r="94" ht="13.5">
      <c r="B94" s="83" t="s">
        <v>826</v>
      </c>
    </row>
    <row r="96" ht="13.5">
      <c r="B96" t="s">
        <v>827</v>
      </c>
    </row>
    <row r="97" ht="14.25" thickBot="1"/>
    <row r="98" spans="2:5" ht="13.5">
      <c r="B98" s="94" t="s">
        <v>828</v>
      </c>
      <c r="C98" s="95" t="s">
        <v>829</v>
      </c>
      <c r="D98" s="95" t="s">
        <v>830</v>
      </c>
      <c r="E98" s="96"/>
    </row>
    <row r="99" spans="2:5" ht="13.5">
      <c r="B99" s="97">
        <v>38362</v>
      </c>
      <c r="C99" s="103">
        <f ca="1">TODAY()</f>
        <v>38853</v>
      </c>
      <c r="D99" s="101" t="str">
        <f>DATEDIF(B99,C99,"D")+1&amp;"日"</f>
        <v>492日</v>
      </c>
      <c r="E99" s="98" t="s">
        <v>832</v>
      </c>
    </row>
    <row r="100" spans="2:5" ht="14.25" thickBot="1">
      <c r="B100" s="99">
        <v>38362</v>
      </c>
      <c r="C100" s="104">
        <f ca="1">TODAY()</f>
        <v>38853</v>
      </c>
      <c r="D100" s="102" t="str">
        <f>DATEDIF(B100,C100,"D")&amp;"日"</f>
        <v>491日</v>
      </c>
      <c r="E100" s="100" t="s">
        <v>831</v>
      </c>
    </row>
    <row r="102" ht="13.5">
      <c r="B102" t="s">
        <v>833</v>
      </c>
    </row>
  </sheetData>
  <mergeCells count="22">
    <mergeCell ref="B3:E5"/>
    <mergeCell ref="C10:E10"/>
    <mergeCell ref="C16:E16"/>
    <mergeCell ref="C13:E13"/>
    <mergeCell ref="B8:E8"/>
    <mergeCell ref="C17:E17"/>
    <mergeCell ref="C18:E18"/>
    <mergeCell ref="C15:E15"/>
    <mergeCell ref="C14:E14"/>
    <mergeCell ref="B22:D22"/>
    <mergeCell ref="B25:E25"/>
    <mergeCell ref="B28:E28"/>
    <mergeCell ref="C83:D83"/>
    <mergeCell ref="B31:E31"/>
    <mergeCell ref="B33:E33"/>
    <mergeCell ref="B36:E37"/>
    <mergeCell ref="B73:E75"/>
    <mergeCell ref="B50:E51"/>
    <mergeCell ref="C84:D84"/>
    <mergeCell ref="C85:D85"/>
    <mergeCell ref="C86:D86"/>
    <mergeCell ref="C82:D82"/>
  </mergeCells>
  <printOptions/>
  <pageMargins left="0.75" right="0.75" top="1" bottom="1" header="0.512" footer="0.512"/>
  <pageSetup orientation="portrait" paperSize="9" r:id="rId2"/>
  <headerFooter alignWithMargins="0">
    <oddHeader>&amp;L&amp;"Century,斜体"&amp;10SystemKOMACO&amp;RExcel：&amp;A</oddHeader>
    <oddFooter>&amp;L2005/2&amp;C&amp;P/&amp;N</oddFooter>
  </headerFooter>
  <ignoredErrors>
    <ignoredError sqref="E84:E85" formula="1"/>
  </ignoredErrors>
  <drawing r:id="rId1"/>
</worksheet>
</file>

<file path=xl/worksheets/sheet27.xml><?xml version="1.0" encoding="utf-8"?>
<worksheet xmlns="http://schemas.openxmlformats.org/spreadsheetml/2006/main" xmlns:r="http://schemas.openxmlformats.org/officeDocument/2006/relationships">
  <sheetPr codeName="Sheet7"/>
  <dimension ref="A1:H51"/>
  <sheetViews>
    <sheetView workbookViewId="0" topLeftCell="A1">
      <selection activeCell="B2" sqref="B2"/>
    </sheetView>
  </sheetViews>
  <sheetFormatPr defaultColWidth="9.00390625" defaultRowHeight="13.5"/>
  <cols>
    <col min="2" max="5" width="19.375" style="0" customWidth="1"/>
  </cols>
  <sheetData>
    <row r="1" ht="31.5" customHeight="1">
      <c r="B1" s="1" t="s">
        <v>629</v>
      </c>
    </row>
    <row r="2" ht="13.5">
      <c r="H2" s="2"/>
    </row>
    <row r="3" spans="1:5" ht="13.5">
      <c r="A3" s="40" t="s">
        <v>652</v>
      </c>
      <c r="B3" s="468" t="s">
        <v>840</v>
      </c>
      <c r="C3" s="468"/>
      <c r="D3" s="468"/>
      <c r="E3" s="469"/>
    </row>
    <row r="4" spans="1:5" ht="13.5">
      <c r="A4" s="41"/>
      <c r="B4" s="471" t="s">
        <v>865</v>
      </c>
      <c r="C4" s="458"/>
      <c r="D4" s="458"/>
      <c r="E4" s="458"/>
    </row>
    <row r="5" spans="1:5" ht="13.5">
      <c r="A5" s="41"/>
      <c r="B5" s="471" t="s">
        <v>837</v>
      </c>
      <c r="C5" s="458"/>
      <c r="D5" s="458"/>
      <c r="E5" s="458"/>
    </row>
    <row r="7" spans="1:5" ht="13.5">
      <c r="A7" s="42" t="s">
        <v>631</v>
      </c>
      <c r="B7" s="472" t="s">
        <v>834</v>
      </c>
      <c r="C7" s="473"/>
      <c r="D7" s="473"/>
      <c r="E7" s="474"/>
    </row>
    <row r="9" spans="1:5" ht="13.5">
      <c r="A9" s="105" t="s">
        <v>655</v>
      </c>
      <c r="B9" s="570" t="s">
        <v>835</v>
      </c>
      <c r="C9" s="571"/>
      <c r="D9" s="571"/>
      <c r="E9" s="571"/>
    </row>
    <row r="10" spans="1:5" ht="13.5">
      <c r="A10" s="106"/>
      <c r="B10" s="570" t="s">
        <v>836</v>
      </c>
      <c r="C10" s="571"/>
      <c r="D10" s="571"/>
      <c r="E10" s="571"/>
    </row>
    <row r="13" ht="13.5">
      <c r="B13" s="83" t="s">
        <v>845</v>
      </c>
    </row>
    <row r="14" ht="14.25" thickBot="1">
      <c r="B14" s="83"/>
    </row>
    <row r="15" spans="2:5" ht="13.5">
      <c r="B15" s="108" t="s">
        <v>838</v>
      </c>
      <c r="C15" s="572" t="s">
        <v>660</v>
      </c>
      <c r="D15" s="573"/>
      <c r="E15" s="142" t="s">
        <v>661</v>
      </c>
    </row>
    <row r="16" spans="2:5" ht="13.5">
      <c r="B16" s="109">
        <v>38414</v>
      </c>
      <c r="C16" s="574" t="s">
        <v>839</v>
      </c>
      <c r="D16" s="575"/>
      <c r="E16" s="143" t="str">
        <f>DATESTRING(B16)</f>
        <v>平成17年03月03日</v>
      </c>
    </row>
    <row r="17" spans="2:5" ht="13.5">
      <c r="B17" s="113">
        <v>38367</v>
      </c>
      <c r="C17" s="574" t="s">
        <v>847</v>
      </c>
      <c r="D17" s="575"/>
      <c r="E17" s="144" t="str">
        <f>DATESTRING("2005/1/15")</f>
        <v>平成17年01月15日</v>
      </c>
    </row>
    <row r="18" spans="2:5" ht="14.25" thickBot="1">
      <c r="B18" s="111" t="s">
        <v>842</v>
      </c>
      <c r="C18" s="576" t="s">
        <v>843</v>
      </c>
      <c r="D18" s="577"/>
      <c r="E18" s="145" t="str">
        <f ca="1">DATESTRING(NOW())</f>
        <v>平成18年05月16日</v>
      </c>
    </row>
    <row r="19" spans="2:4" ht="13.5">
      <c r="B19" s="107"/>
      <c r="C19" s="16"/>
      <c r="D19" s="16"/>
    </row>
    <row r="20" spans="2:4" ht="13.5">
      <c r="B20" s="112" t="s">
        <v>844</v>
      </c>
      <c r="C20" s="16"/>
      <c r="D20" s="16"/>
    </row>
    <row r="21" spans="2:4" ht="14.25" thickBot="1">
      <c r="B21" s="84"/>
      <c r="C21" s="16"/>
      <c r="D21" s="16"/>
    </row>
    <row r="22" spans="2:5" ht="13.5">
      <c r="B22" s="108" t="s">
        <v>838</v>
      </c>
      <c r="C22" s="414">
        <v>38372</v>
      </c>
      <c r="D22" s="118"/>
      <c r="E22" s="117"/>
    </row>
    <row r="23" spans="2:5" ht="13.5">
      <c r="B23" s="114" t="s">
        <v>660</v>
      </c>
      <c r="C23" s="110" t="s">
        <v>846</v>
      </c>
      <c r="D23" s="115"/>
      <c r="E23" s="116"/>
    </row>
    <row r="24" spans="2:5" ht="14.25" thickBot="1">
      <c r="B24" s="146" t="s">
        <v>661</v>
      </c>
      <c r="C24" s="147" t="str">
        <f>DATESTRING(C22)&amp;"上記日時に納品いたしました。"</f>
        <v>平成17年01月20日上記日時に納品いたしました。</v>
      </c>
      <c r="D24" s="148"/>
      <c r="E24" s="149"/>
    </row>
    <row r="26" ht="16.5" customHeight="1"/>
    <row r="28" ht="13.5">
      <c r="A28" s="120" t="s">
        <v>849</v>
      </c>
    </row>
    <row r="29" ht="13.5">
      <c r="B29" s="2" t="s">
        <v>848</v>
      </c>
    </row>
    <row r="31" ht="14.25">
      <c r="A31" s="63" t="s">
        <v>850</v>
      </c>
    </row>
    <row r="32" ht="13.5">
      <c r="A32" t="s">
        <v>851</v>
      </c>
    </row>
    <row r="34" ht="14.25">
      <c r="A34" s="63" t="s">
        <v>852</v>
      </c>
    </row>
    <row r="35" spans="1:5" ht="13.5">
      <c r="A35" s="458" t="s">
        <v>853</v>
      </c>
      <c r="B35" s="458"/>
      <c r="C35" s="458"/>
      <c r="D35" s="458"/>
      <c r="E35" s="458"/>
    </row>
    <row r="36" spans="1:5" ht="13.5">
      <c r="A36" s="458"/>
      <c r="B36" s="458"/>
      <c r="C36" s="458"/>
      <c r="D36" s="458"/>
      <c r="E36" s="458"/>
    </row>
    <row r="37" ht="15">
      <c r="A37" s="119" t="s">
        <v>854</v>
      </c>
    </row>
    <row r="38" ht="15">
      <c r="A38" s="119" t="s">
        <v>855</v>
      </c>
    </row>
    <row r="39" ht="15">
      <c r="A39" s="119" t="s">
        <v>856</v>
      </c>
    </row>
    <row r="41" ht="14.25">
      <c r="A41" s="63" t="s">
        <v>857</v>
      </c>
    </row>
    <row r="42" ht="13.5">
      <c r="A42" t="s">
        <v>858</v>
      </c>
    </row>
    <row r="43" spans="1:5" ht="13.5">
      <c r="A43" s="455" t="s">
        <v>859</v>
      </c>
      <c r="B43" s="455"/>
      <c r="C43" s="455"/>
      <c r="D43" s="455"/>
      <c r="E43" s="455"/>
    </row>
    <row r="44" spans="1:5" ht="13.5">
      <c r="A44" s="455"/>
      <c r="B44" s="455"/>
      <c r="C44" s="455"/>
      <c r="D44" s="455"/>
      <c r="E44" s="455"/>
    </row>
    <row r="45" spans="1:5" ht="13.5">
      <c r="A45" s="3"/>
      <c r="B45" s="3"/>
      <c r="C45" s="3"/>
      <c r="D45" s="3"/>
      <c r="E45" s="3"/>
    </row>
    <row r="46" ht="14.25">
      <c r="A46" s="63" t="s">
        <v>852</v>
      </c>
    </row>
    <row r="47" spans="1:5" ht="27" customHeight="1">
      <c r="A47" s="458" t="s">
        <v>863</v>
      </c>
      <c r="B47" s="458"/>
      <c r="C47" s="458"/>
      <c r="D47" s="458"/>
      <c r="E47" s="458"/>
    </row>
    <row r="48" spans="1:5" ht="13.5">
      <c r="A48" s="458" t="s">
        <v>864</v>
      </c>
      <c r="B48" s="458"/>
      <c r="C48" s="458"/>
      <c r="D48" s="458"/>
      <c r="E48" s="458"/>
    </row>
    <row r="49" spans="1:5" ht="13.5">
      <c r="A49" s="4"/>
      <c r="B49" s="458" t="s">
        <v>860</v>
      </c>
      <c r="C49" s="458"/>
      <c r="D49" s="458"/>
      <c r="E49" s="458"/>
    </row>
    <row r="50" spans="1:5" ht="13.5">
      <c r="A50" s="4"/>
      <c r="B50" s="458" t="s">
        <v>861</v>
      </c>
      <c r="C50" s="458"/>
      <c r="D50" s="458"/>
      <c r="E50" s="458"/>
    </row>
    <row r="51" spans="1:5" ht="13.5">
      <c r="A51" s="4"/>
      <c r="B51" s="458" t="s">
        <v>862</v>
      </c>
      <c r="C51" s="458"/>
      <c r="D51" s="458"/>
      <c r="E51" s="458"/>
    </row>
  </sheetData>
  <mergeCells count="17">
    <mergeCell ref="B3:E3"/>
    <mergeCell ref="B7:E7"/>
    <mergeCell ref="B4:E4"/>
    <mergeCell ref="B5:E5"/>
    <mergeCell ref="B49:E49"/>
    <mergeCell ref="B50:E50"/>
    <mergeCell ref="B51:E51"/>
    <mergeCell ref="A48:E48"/>
    <mergeCell ref="A43:E44"/>
    <mergeCell ref="A47:E47"/>
    <mergeCell ref="B9:E9"/>
    <mergeCell ref="B10:E10"/>
    <mergeCell ref="C15:D15"/>
    <mergeCell ref="C16:D16"/>
    <mergeCell ref="C18:D18"/>
    <mergeCell ref="C17:D17"/>
    <mergeCell ref="A35:E36"/>
  </mergeCells>
  <hyperlinks>
    <hyperlink ref="B29" r:id="rId1" display="http://support.microsoft.com/default.aspx?scid=kb;ja;JP418360"/>
  </hyperlinks>
  <printOptions/>
  <pageMargins left="0.7874015748031497" right="0.7874015748031497" top="0.984251968503937" bottom="0.984251968503937" header="0.5118110236220472" footer="0.5118110236220472"/>
  <pageSetup cellComments="asDisplayed" orientation="portrait" paperSize="9" r:id="rId3"/>
  <headerFooter alignWithMargins="0">
    <oddHeader>&amp;L&amp;"Century,斜体"&amp;10SystemKOMACO&amp;RExcel：&amp;A</oddHeader>
    <oddFooter>&amp;L2005/2&amp;C&amp;P/&amp;N</oddFooter>
  </headerFooter>
  <drawing r:id="rId2"/>
</worksheet>
</file>

<file path=xl/worksheets/sheet3.xml><?xml version="1.0" encoding="utf-8"?>
<worksheet xmlns="http://schemas.openxmlformats.org/spreadsheetml/2006/main" xmlns:r="http://schemas.openxmlformats.org/officeDocument/2006/relationships">
  <dimension ref="A1:H137"/>
  <sheetViews>
    <sheetView workbookViewId="0" topLeftCell="A1">
      <selection activeCell="A8" sqref="A8"/>
    </sheetView>
  </sheetViews>
  <sheetFormatPr defaultColWidth="9.00390625" defaultRowHeight="13.5"/>
  <cols>
    <col min="2" max="5" width="19.375" style="0" customWidth="1"/>
  </cols>
  <sheetData>
    <row r="1" ht="31.5" customHeight="1">
      <c r="B1" s="1" t="s">
        <v>343</v>
      </c>
    </row>
    <row r="2" spans="5:8" ht="13.5">
      <c r="E2" s="5"/>
      <c r="H2" s="15" t="s">
        <v>218</v>
      </c>
    </row>
    <row r="3" spans="2:8" ht="13.5">
      <c r="B3" s="83" t="s">
        <v>263</v>
      </c>
      <c r="E3" s="5"/>
      <c r="H3">
        <v>1991</v>
      </c>
    </row>
    <row r="4" spans="2:8" ht="13.5">
      <c r="B4" t="s">
        <v>266</v>
      </c>
      <c r="E4" s="5"/>
      <c r="H4">
        <v>1992</v>
      </c>
    </row>
    <row r="5" spans="2:8" ht="13.5">
      <c r="B5" s="327" t="s">
        <v>264</v>
      </c>
      <c r="C5" s="327" t="s">
        <v>265</v>
      </c>
      <c r="D5" s="137" t="s">
        <v>661</v>
      </c>
      <c r="E5" s="353" t="s">
        <v>660</v>
      </c>
      <c r="H5">
        <v>1993</v>
      </c>
    </row>
    <row r="6" spans="2:8" ht="13.5">
      <c r="B6" s="349">
        <v>38574</v>
      </c>
      <c r="C6" s="349">
        <v>38398</v>
      </c>
      <c r="D6" s="348">
        <f>B6-C6</f>
        <v>176</v>
      </c>
      <c r="E6" s="169" t="s">
        <v>267</v>
      </c>
      <c r="H6">
        <v>1994</v>
      </c>
    </row>
    <row r="7" spans="5:8" ht="13.5">
      <c r="E7" s="5"/>
      <c r="H7">
        <v>1995</v>
      </c>
    </row>
    <row r="8" spans="2:8" ht="13.5">
      <c r="B8" s="83" t="s">
        <v>212</v>
      </c>
      <c r="H8">
        <v>1996</v>
      </c>
    </row>
    <row r="9" ht="13.5">
      <c r="H9">
        <v>1997</v>
      </c>
    </row>
    <row r="10" spans="2:8" ht="13.5">
      <c r="B10" t="s">
        <v>255</v>
      </c>
      <c r="H10">
        <v>1998</v>
      </c>
    </row>
    <row r="11" spans="2:8" ht="13.5">
      <c r="B11" s="54" t="s">
        <v>213</v>
      </c>
      <c r="C11" s="55"/>
      <c r="D11" s="136">
        <f>DATE(2008,3,1)-DATE(2008,2,1)</f>
        <v>29</v>
      </c>
      <c r="E11" s="339" t="s">
        <v>221</v>
      </c>
      <c r="H11">
        <v>1999</v>
      </c>
    </row>
    <row r="12" spans="2:8" ht="13.5">
      <c r="B12" s="16"/>
      <c r="H12">
        <v>2000</v>
      </c>
    </row>
    <row r="13" spans="2:8" ht="13.5">
      <c r="B13" t="s">
        <v>254</v>
      </c>
      <c r="H13">
        <v>2001</v>
      </c>
    </row>
    <row r="14" spans="2:8" ht="13.5">
      <c r="B14" s="54" t="s">
        <v>214</v>
      </c>
      <c r="C14" s="55"/>
      <c r="D14" s="134">
        <f>DATE(2008,3,0)</f>
        <v>39507</v>
      </c>
      <c r="H14">
        <v>2002</v>
      </c>
    </row>
    <row r="15" spans="2:8" ht="13.5">
      <c r="B15" s="16"/>
      <c r="D15" s="5"/>
      <c r="H15">
        <v>2003</v>
      </c>
    </row>
    <row r="16" spans="2:8" ht="13.5">
      <c r="B16" t="s">
        <v>215</v>
      </c>
      <c r="D16" s="5"/>
      <c r="H16">
        <v>2004</v>
      </c>
    </row>
    <row r="17" spans="2:8" ht="13.5">
      <c r="B17" s="327" t="s">
        <v>216</v>
      </c>
      <c r="C17" s="328">
        <v>2010</v>
      </c>
      <c r="D17" s="54" t="s">
        <v>271</v>
      </c>
      <c r="E17" s="326">
        <f>DATE(C17,3,0)</f>
        <v>40237</v>
      </c>
      <c r="H17">
        <v>2005</v>
      </c>
    </row>
    <row r="18" spans="2:8" ht="13.5">
      <c r="B18" t="s">
        <v>217</v>
      </c>
      <c r="D18" s="5"/>
      <c r="H18">
        <v>2006</v>
      </c>
    </row>
    <row r="19" spans="2:8" ht="13.5">
      <c r="B19" s="327" t="s">
        <v>218</v>
      </c>
      <c r="C19" s="328">
        <v>1992</v>
      </c>
      <c r="D19" s="54" t="s">
        <v>272</v>
      </c>
      <c r="E19" s="326">
        <f>DATE(C19,3,0)</f>
        <v>33663</v>
      </c>
      <c r="H19">
        <v>2008</v>
      </c>
    </row>
    <row r="20" ht="13.5">
      <c r="H20">
        <v>2009</v>
      </c>
    </row>
    <row r="21" spans="2:8" ht="13.5">
      <c r="B21" t="s">
        <v>219</v>
      </c>
      <c r="E21" s="339" t="s">
        <v>457</v>
      </c>
      <c r="H21">
        <v>2010</v>
      </c>
    </row>
    <row r="22" spans="2:8" ht="13.5">
      <c r="B22" s="54" t="s">
        <v>220</v>
      </c>
      <c r="C22" s="55"/>
      <c r="D22" s="136">
        <f>DAY(EOMONTH(DATE(2006,2,1),0))</f>
        <v>28</v>
      </c>
      <c r="E22" s="339" t="s">
        <v>235</v>
      </c>
      <c r="H22">
        <v>2011</v>
      </c>
    </row>
    <row r="23" spans="1:8" ht="15">
      <c r="A23" s="119"/>
      <c r="H23">
        <v>2013</v>
      </c>
    </row>
    <row r="24" spans="1:8" ht="15">
      <c r="A24" s="119"/>
      <c r="B24" s="83" t="s">
        <v>226</v>
      </c>
      <c r="H24">
        <v>2014</v>
      </c>
    </row>
    <row r="25" spans="1:8" ht="15">
      <c r="A25" s="119"/>
      <c r="B25" s="325"/>
      <c r="H25">
        <v>2015</v>
      </c>
    </row>
    <row r="26" spans="1:8" ht="15">
      <c r="A26" s="119"/>
      <c r="B26" s="333" t="s">
        <v>256</v>
      </c>
      <c r="E26" s="339" t="s">
        <v>236</v>
      </c>
      <c r="H26">
        <v>2016</v>
      </c>
    </row>
    <row r="27" spans="2:5" ht="13.5">
      <c r="B27" s="332" t="s">
        <v>227</v>
      </c>
      <c r="C27" s="55"/>
      <c r="D27" s="136">
        <f ca="1">TODAY()-DATE(YEAR(TODAY()),1,1)</f>
        <v>135</v>
      </c>
      <c r="E27" s="339" t="s">
        <v>237</v>
      </c>
    </row>
    <row r="28" spans="2:5" ht="13.5">
      <c r="B28" s="463" t="s">
        <v>238</v>
      </c>
      <c r="C28" s="463"/>
      <c r="D28" s="463"/>
      <c r="E28" s="463"/>
    </row>
    <row r="29" spans="2:5" ht="13.5">
      <c r="B29" s="463"/>
      <c r="C29" s="463"/>
      <c r="D29" s="463"/>
      <c r="E29" s="463"/>
    </row>
    <row r="30" spans="2:5" ht="13.5">
      <c r="B30" s="463"/>
      <c r="C30" s="463"/>
      <c r="D30" s="463"/>
      <c r="E30" s="463"/>
    </row>
    <row r="31" spans="2:5" ht="13.5">
      <c r="B31" s="463"/>
      <c r="C31" s="463"/>
      <c r="D31" s="463"/>
      <c r="E31" s="463"/>
    </row>
    <row r="32" spans="2:5" ht="13.5">
      <c r="B32" s="463" t="s">
        <v>269</v>
      </c>
      <c r="C32" s="463"/>
      <c r="D32" s="463"/>
      <c r="E32" s="463"/>
    </row>
    <row r="33" spans="2:5" ht="13.5">
      <c r="B33" s="450" t="s">
        <v>268</v>
      </c>
      <c r="C33" s="451"/>
      <c r="D33" s="355">
        <f ca="1">TODAY()-DATE(2005,1,1)</f>
        <v>500</v>
      </c>
      <c r="E33" s="354"/>
    </row>
    <row r="34" spans="2:5" ht="13.5">
      <c r="B34" s="356"/>
      <c r="C34" s="357"/>
      <c r="D34" s="309"/>
      <c r="E34" s="354"/>
    </row>
    <row r="35" spans="2:5" ht="13.5">
      <c r="B35" s="452" t="s">
        <v>270</v>
      </c>
      <c r="C35" s="455"/>
      <c r="D35" s="455"/>
      <c r="E35" s="455"/>
    </row>
    <row r="36" spans="1:5" ht="15">
      <c r="A36" s="119"/>
      <c r="B36" s="5">
        <f ca="1">TODAY()</f>
        <v>38853</v>
      </c>
      <c r="C36" s="5">
        <v>38353</v>
      </c>
      <c r="D36" s="245">
        <f>B36-C36</f>
        <v>500</v>
      </c>
      <c r="E36" s="178" t="s">
        <v>262</v>
      </c>
    </row>
    <row r="37" spans="1:5" ht="15">
      <c r="A37" s="119"/>
      <c r="B37" s="353" t="s">
        <v>273</v>
      </c>
      <c r="C37" s="5"/>
      <c r="D37" s="255" t="s">
        <v>274</v>
      </c>
      <c r="E37" s="16"/>
    </row>
    <row r="38" spans="2:5" ht="13.5">
      <c r="B38" s="356"/>
      <c r="C38" s="357"/>
      <c r="D38" s="309"/>
      <c r="E38" s="354"/>
    </row>
    <row r="39" spans="2:5" ht="13.5">
      <c r="B39" s="458" t="s">
        <v>228</v>
      </c>
      <c r="C39" s="458"/>
      <c r="D39" s="458"/>
      <c r="E39" s="458"/>
    </row>
    <row r="40" spans="2:5" ht="13.5">
      <c r="B40" s="458"/>
      <c r="C40" s="458"/>
      <c r="D40" s="458"/>
      <c r="E40" s="458"/>
    </row>
    <row r="42" ht="13.5">
      <c r="B42" s="83" t="s">
        <v>225</v>
      </c>
    </row>
    <row r="44" spans="2:5" ht="13.5">
      <c r="B44" t="s">
        <v>258</v>
      </c>
      <c r="E44" s="339" t="s">
        <v>257</v>
      </c>
    </row>
    <row r="45" spans="2:5" ht="13.5">
      <c r="B45" s="332" t="s">
        <v>224</v>
      </c>
      <c r="C45" s="55"/>
      <c r="D45" s="55"/>
      <c r="E45" s="136">
        <f ca="1">TODAY()-DATE(YEAR(TODAY()),MONTH(TODAY()),1)</f>
        <v>15</v>
      </c>
    </row>
    <row r="47" spans="2:5" ht="13.5">
      <c r="B47" s="458" t="s">
        <v>259</v>
      </c>
      <c r="C47" s="458"/>
      <c r="D47" s="458"/>
      <c r="E47" s="458"/>
    </row>
    <row r="48" spans="2:5" ht="13.5">
      <c r="B48" s="458"/>
      <c r="C48" s="458"/>
      <c r="D48" s="458"/>
      <c r="E48" s="458"/>
    </row>
    <row r="49" spans="2:5" ht="13.5">
      <c r="B49" s="458"/>
      <c r="C49" s="458"/>
      <c r="D49" s="458"/>
      <c r="E49" s="458"/>
    </row>
    <row r="50" spans="2:5" ht="13.5">
      <c r="B50" s="4"/>
      <c r="C50" s="4"/>
      <c r="D50" s="4"/>
      <c r="E50" s="4"/>
    </row>
    <row r="51" spans="2:5" ht="13.5">
      <c r="B51" s="458" t="s">
        <v>228</v>
      </c>
      <c r="C51" s="458"/>
      <c r="D51" s="458"/>
      <c r="E51" s="458"/>
    </row>
    <row r="52" spans="2:5" ht="13.5">
      <c r="B52" s="458"/>
      <c r="C52" s="458"/>
      <c r="D52" s="458"/>
      <c r="E52" s="458"/>
    </row>
    <row r="54" ht="13.5">
      <c r="B54" s="83" t="s">
        <v>233</v>
      </c>
    </row>
    <row r="56" ht="13.5">
      <c r="B56" t="s">
        <v>550</v>
      </c>
    </row>
    <row r="57" spans="2:4" ht="13.5">
      <c r="B57" s="332" t="s">
        <v>234</v>
      </c>
      <c r="C57" s="55"/>
      <c r="D57" s="350">
        <f ca="1">DATE(YEAR(TODAY())+1,1,1)-TODAY()</f>
        <v>230</v>
      </c>
    </row>
    <row r="58" spans="2:4" ht="13.5">
      <c r="B58" s="359"/>
      <c r="C58" s="10"/>
      <c r="D58" s="360"/>
    </row>
    <row r="59" spans="2:4" ht="13.5">
      <c r="B59" s="361" t="s">
        <v>275</v>
      </c>
      <c r="C59" s="10"/>
      <c r="D59" s="360"/>
    </row>
    <row r="60" spans="2:5" ht="13.5">
      <c r="B60" s="351">
        <v>38718</v>
      </c>
      <c r="C60" s="352">
        <f ca="1">TODAY()</f>
        <v>38853</v>
      </c>
      <c r="D60" s="348">
        <f>B60-C60</f>
        <v>-135</v>
      </c>
      <c r="E60" s="54" t="s">
        <v>276</v>
      </c>
    </row>
    <row r="61" spans="2:4" ht="13.5">
      <c r="B61" s="5"/>
      <c r="C61" s="5"/>
      <c r="D61" s="346"/>
    </row>
    <row r="62" spans="2:4" ht="13.5">
      <c r="B62" s="5"/>
      <c r="C62" s="5"/>
      <c r="D62" s="346"/>
    </row>
    <row r="63" spans="2:3" ht="13.5">
      <c r="B63" s="166" t="s">
        <v>260</v>
      </c>
      <c r="C63" s="10"/>
    </row>
    <row r="65" spans="2:3" ht="13.5">
      <c r="B65" s="327" t="s">
        <v>690</v>
      </c>
      <c r="C65" s="349">
        <f ca="1">TODAY()</f>
        <v>38853</v>
      </c>
    </row>
    <row r="66" spans="2:3" ht="13.5">
      <c r="B66" s="327" t="s">
        <v>261</v>
      </c>
      <c r="C66" s="349">
        <v>38718</v>
      </c>
    </row>
    <row r="67" spans="2:3" ht="13.5">
      <c r="B67" s="15"/>
      <c r="C67" s="348">
        <f ca="1">DATE(YEAR(C66),MONTH(C66),DAY(C66))-TODAY()</f>
        <v>-135</v>
      </c>
    </row>
    <row r="68" spans="2:4" ht="13.5">
      <c r="B68" s="54" t="s">
        <v>277</v>
      </c>
      <c r="C68" s="347"/>
      <c r="D68" s="54"/>
    </row>
    <row r="69" spans="2:3" ht="13.5">
      <c r="B69" s="15"/>
      <c r="C69" s="161"/>
    </row>
    <row r="70" spans="2:3" ht="13.5">
      <c r="B70" s="374" t="s">
        <v>620</v>
      </c>
      <c r="C70" s="161"/>
    </row>
    <row r="71" spans="2:3" ht="14.25">
      <c r="B71" s="345"/>
      <c r="C71" s="161"/>
    </row>
    <row r="72" ht="13.5">
      <c r="B72" s="16" t="s">
        <v>278</v>
      </c>
    </row>
    <row r="73" spans="3:4" ht="13.5">
      <c r="C73" s="358" t="s">
        <v>691</v>
      </c>
      <c r="D73" s="137" t="str">
        <f>(DATE(2101,1,1)-C65)&amp;"日"</f>
        <v>34563日</v>
      </c>
    </row>
    <row r="74" spans="3:5" ht="13.5">
      <c r="C74" s="5"/>
      <c r="D74" s="5"/>
      <c r="E74" s="161"/>
    </row>
    <row r="75" ht="13.5">
      <c r="B75" s="83" t="s">
        <v>229</v>
      </c>
    </row>
    <row r="77" spans="2:5" ht="14.25" thickBot="1">
      <c r="B77" t="s">
        <v>230</v>
      </c>
      <c r="E77" s="329" t="s">
        <v>232</v>
      </c>
    </row>
    <row r="78" spans="2:5" ht="13.5">
      <c r="B78" s="334" t="s">
        <v>727</v>
      </c>
      <c r="C78" s="335" t="s">
        <v>231</v>
      </c>
      <c r="D78" s="336" t="s">
        <v>702</v>
      </c>
      <c r="E78" s="10"/>
    </row>
    <row r="79" spans="2:5" ht="14.25" thickBot="1">
      <c r="B79" s="337">
        <v>37469</v>
      </c>
      <c r="C79" s="338">
        <f ca="1">TODAY()</f>
        <v>38853</v>
      </c>
      <c r="D79" s="139" t="str">
        <f>DATEDIF(B79,C79,"Y")&amp;"年"&amp;DATEDIF(B79,C79,"YM")&amp;"ヶ月"&amp;DATEDIF(B79,C79,"MD")&amp;"日"</f>
        <v>3年9ヶ月15日</v>
      </c>
      <c r="E79" s="10"/>
    </row>
    <row r="80" spans="2:5" ht="13.5">
      <c r="B80" s="464" t="s">
        <v>279</v>
      </c>
      <c r="C80" s="465"/>
      <c r="D80" s="465"/>
      <c r="E80" s="465"/>
    </row>
    <row r="81" spans="2:5" ht="13.5">
      <c r="B81" s="465"/>
      <c r="C81" s="465"/>
      <c r="D81" s="465"/>
      <c r="E81" s="465"/>
    </row>
    <row r="82" spans="3:5" ht="13.5">
      <c r="C82" s="161"/>
      <c r="D82" s="5"/>
      <c r="E82" s="161"/>
    </row>
    <row r="83" spans="1:2" ht="16.5">
      <c r="A83" s="291"/>
      <c r="B83" s="83" t="s">
        <v>280</v>
      </c>
    </row>
    <row r="85" ht="13.5">
      <c r="B85" t="s">
        <v>300</v>
      </c>
    </row>
    <row r="86" spans="2:5" ht="13.5">
      <c r="B86" s="169" t="s">
        <v>281</v>
      </c>
      <c r="C86" s="55"/>
      <c r="D86" s="55"/>
      <c r="E86" s="55"/>
    </row>
    <row r="87" spans="1:4" ht="16.5">
      <c r="A87" s="291"/>
      <c r="D87" s="134">
        <f>DATE(INT(20050201/10000),MOD(INT(20050201/100),100),MOD(20050201,100))</f>
        <v>38384</v>
      </c>
    </row>
    <row r="88" spans="1:4" ht="16.5">
      <c r="A88" s="291"/>
      <c r="B88" t="s">
        <v>297</v>
      </c>
      <c r="D88" s="124"/>
    </row>
    <row r="89" spans="2:4" ht="13.5">
      <c r="B89" s="327" t="s">
        <v>298</v>
      </c>
      <c r="C89" s="328">
        <v>20050201</v>
      </c>
      <c r="D89" s="134">
        <f>DATE(INT(C89/10000),MOD(INT(C89/100),100),MOD(C89,100))</f>
        <v>38384</v>
      </c>
    </row>
    <row r="90" spans="2:4" ht="13.5">
      <c r="B90" s="213"/>
      <c r="C90" s="200"/>
      <c r="D90" s="124"/>
    </row>
    <row r="91" ht="13.5">
      <c r="B91" t="s">
        <v>282</v>
      </c>
    </row>
    <row r="92" spans="2:5" ht="13.5">
      <c r="B92" s="455" t="s">
        <v>283</v>
      </c>
      <c r="C92" s="455"/>
      <c r="D92" s="455"/>
      <c r="E92" s="455"/>
    </row>
    <row r="93" spans="2:5" ht="13.5">
      <c r="B93" s="455"/>
      <c r="C93" s="455"/>
      <c r="D93" s="455"/>
      <c r="E93" s="455"/>
    </row>
    <row r="94" spans="2:5" ht="13.5">
      <c r="B94" s="3"/>
      <c r="C94" s="3"/>
      <c r="D94" s="3"/>
      <c r="E94" s="3"/>
    </row>
    <row r="95" ht="13.5">
      <c r="B95" t="s">
        <v>285</v>
      </c>
    </row>
    <row r="96" ht="13.5">
      <c r="B96" t="s">
        <v>284</v>
      </c>
    </row>
    <row r="97" ht="13.5">
      <c r="B97" s="333" t="s">
        <v>286</v>
      </c>
    </row>
    <row r="98" ht="13.5">
      <c r="B98" s="333" t="s">
        <v>287</v>
      </c>
    </row>
    <row r="99" ht="13.5">
      <c r="B99" s="333" t="s">
        <v>288</v>
      </c>
    </row>
    <row r="100" ht="13.5">
      <c r="B100" s="333"/>
    </row>
    <row r="101" ht="13.5">
      <c r="B101" s="331" t="s">
        <v>290</v>
      </c>
    </row>
    <row r="103" spans="2:3" ht="13.5">
      <c r="B103" s="362" t="s">
        <v>293</v>
      </c>
      <c r="C103" t="s">
        <v>295</v>
      </c>
    </row>
    <row r="104" spans="2:3" ht="13.5">
      <c r="B104" s="15" t="s">
        <v>631</v>
      </c>
      <c r="C104" t="s">
        <v>296</v>
      </c>
    </row>
    <row r="105" spans="2:3" ht="13.5">
      <c r="B105" s="362" t="s">
        <v>294</v>
      </c>
      <c r="C105" t="s">
        <v>291</v>
      </c>
    </row>
    <row r="106" spans="1:3" ht="15">
      <c r="A106" s="119" t="s">
        <v>289</v>
      </c>
      <c r="B106" s="15" t="s">
        <v>631</v>
      </c>
      <c r="C106" t="s">
        <v>292</v>
      </c>
    </row>
    <row r="108" spans="2:4" ht="13.5">
      <c r="B108" s="83" t="s">
        <v>299</v>
      </c>
      <c r="D108" s="5"/>
    </row>
    <row r="110" ht="13.5">
      <c r="B110" t="s">
        <v>1050</v>
      </c>
    </row>
    <row r="111" spans="2:5" ht="13.5">
      <c r="B111" s="169" t="s">
        <v>1051</v>
      </c>
      <c r="C111" s="55"/>
      <c r="D111" s="55"/>
      <c r="E111" s="55"/>
    </row>
    <row r="112" ht="13.5">
      <c r="D112" s="134">
        <f>DATE(INT(980503/10000),MOD(INT(980503/100),100),MOD(980503,100))</f>
        <v>35918</v>
      </c>
    </row>
    <row r="113" spans="2:4" ht="13.5">
      <c r="B113" t="s">
        <v>297</v>
      </c>
      <c r="D113" s="124"/>
    </row>
    <row r="114" spans="2:4" ht="13.5">
      <c r="B114" s="327" t="s">
        <v>298</v>
      </c>
      <c r="C114" s="328">
        <v>980503</v>
      </c>
      <c r="D114" s="134">
        <f>DATE(INT(C114/10000),MOD(INT(C114/100),100),MOD(C114,100))</f>
        <v>35918</v>
      </c>
    </row>
    <row r="116" ht="13.5">
      <c r="B116" t="s">
        <v>1052</v>
      </c>
    </row>
    <row r="117" spans="2:5" ht="13.5">
      <c r="B117" s="169" t="s">
        <v>301</v>
      </c>
      <c r="C117" s="55"/>
      <c r="D117" s="55"/>
      <c r="E117" s="55"/>
    </row>
    <row r="118" ht="13.5">
      <c r="D118" s="134">
        <f>DATE(INT(50503/10000),MOD(INT(50503/100),100),MOD(503,100))</f>
        <v>1950</v>
      </c>
    </row>
    <row r="119" ht="13.5">
      <c r="B119" t="s">
        <v>1054</v>
      </c>
    </row>
    <row r="120" ht="13.5">
      <c r="B120" s="16" t="s">
        <v>1053</v>
      </c>
    </row>
    <row r="121" ht="13.5">
      <c r="B121" t="s">
        <v>1055</v>
      </c>
    </row>
    <row r="122" spans="2:4" ht="13.5">
      <c r="B122" t="s">
        <v>26</v>
      </c>
      <c r="D122" s="2" t="s">
        <v>27</v>
      </c>
    </row>
    <row r="123" ht="13.5">
      <c r="D123" s="2"/>
    </row>
    <row r="124" spans="2:4" ht="13.5">
      <c r="B124" t="s">
        <v>28</v>
      </c>
      <c r="D124" s="2"/>
    </row>
    <row r="125" spans="2:5" ht="13.5">
      <c r="B125" s="54" t="s">
        <v>29</v>
      </c>
      <c r="C125" s="55"/>
      <c r="D125" s="365"/>
      <c r="E125" s="55"/>
    </row>
    <row r="126" ht="13.5">
      <c r="D126" s="134">
        <f>DATE(INT(50503/10000+2000),MOD(INT(50503/100),100),MOD(50503,100))</f>
        <v>38475</v>
      </c>
    </row>
    <row r="129" spans="2:3" ht="13.5">
      <c r="B129" s="83" t="s">
        <v>30</v>
      </c>
      <c r="C129" s="5"/>
    </row>
    <row r="130" ht="13.5">
      <c r="C130" s="5"/>
    </row>
    <row r="131" spans="2:5" ht="13.5">
      <c r="B131" t="s">
        <v>31</v>
      </c>
      <c r="C131" s="5"/>
      <c r="E131" t="s">
        <v>32</v>
      </c>
    </row>
    <row r="132" ht="13.5">
      <c r="C132" s="5"/>
    </row>
    <row r="133" spans="2:3" ht="13.5">
      <c r="B133" t="s">
        <v>34</v>
      </c>
      <c r="C133" s="5"/>
    </row>
    <row r="134" spans="2:5" ht="13.5">
      <c r="B134" s="54" t="s">
        <v>33</v>
      </c>
      <c r="C134" s="170"/>
      <c r="D134" s="55"/>
      <c r="E134" s="136">
        <f ca="1">TEXT(NOW(),"yyyy/m/d")-TEXT("2005/1/1","yyyy/m/d")</f>
        <v>500</v>
      </c>
    </row>
    <row r="136" ht="13.5">
      <c r="B136" t="s">
        <v>36</v>
      </c>
    </row>
    <row r="137" spans="2:5" ht="13.5">
      <c r="B137" s="54" t="s">
        <v>35</v>
      </c>
      <c r="C137" s="170"/>
      <c r="D137" s="55"/>
      <c r="E137" s="136">
        <f ca="1">TEXT("2006/1/1","yyyy/m/d")-TEXT(TODAY(),"yyyy/m/d")</f>
        <v>-135</v>
      </c>
    </row>
  </sheetData>
  <mergeCells count="9">
    <mergeCell ref="B92:E93"/>
    <mergeCell ref="B80:E81"/>
    <mergeCell ref="B33:C33"/>
    <mergeCell ref="B32:E32"/>
    <mergeCell ref="B35:E35"/>
    <mergeCell ref="B28:E31"/>
    <mergeCell ref="B39:E40"/>
    <mergeCell ref="B47:E49"/>
    <mergeCell ref="B51:E52"/>
  </mergeCells>
  <dataValidations count="2">
    <dataValidation type="list" allowBlank="1" showInputMessage="1" showErrorMessage="1" sqref="E108">
      <formula1>$H$77:$H$112</formula1>
    </dataValidation>
    <dataValidation type="list" allowBlank="1" showInputMessage="1" showErrorMessage="1" promptTitle="年リスト" sqref="C19">
      <formula1>$H$3:$H$26</formula1>
    </dataValidation>
  </dataValidations>
  <hyperlinks>
    <hyperlink ref="E11" location="DATE関数!B1" display="→DATE関数"/>
    <hyperlink ref="E21" location="EOMONTH関数!B1" display="→EOMONTH関数"/>
    <hyperlink ref="E77" location="DATEDIF関数!B1" display="→DATEDIF関数"/>
    <hyperlink ref="E22" location="DAY関数!B1" display="→DAY関数"/>
    <hyperlink ref="E26" location="TODAY関数!B1" display="→TODAY関数"/>
    <hyperlink ref="E27" location="YEAR関数!B1" display="→YEAR関数"/>
    <hyperlink ref="E44" location="MONTH関数!B1" display="→MONTH関数"/>
    <hyperlink ref="D122" location="Excelでの2桁年の解釈" display="→Excelでの2桁年の解釈"/>
  </hyperlinks>
  <printOptions/>
  <pageMargins left="0.75" right="0.75" top="1" bottom="1" header="0.512" footer="0.512"/>
  <pageSetup orientation="portrait" paperSize="9" r:id="rId4"/>
  <headerFooter alignWithMargins="0">
    <oddHeader>&amp;L&amp;"Century,斜体"&amp;10SystemKOMACO&amp;RExcel：&amp;A</oddHeader>
    <oddFooter>&amp;L2005/2&amp;C&amp;P/&amp;N</oddFooter>
  </headerFooter>
  <rowBreaks count="2" manualBreakCount="2">
    <brk id="53" max="255" man="1"/>
    <brk id="107" max="255" man="1"/>
  </rowBreaks>
  <drawing r:id="rId3"/>
  <legacyDrawing r:id="rId2"/>
</worksheet>
</file>

<file path=xl/worksheets/sheet4.xml><?xml version="1.0" encoding="utf-8"?>
<worksheet xmlns="http://schemas.openxmlformats.org/spreadsheetml/2006/main" xmlns:r="http://schemas.openxmlformats.org/officeDocument/2006/relationships">
  <dimension ref="A1:L30"/>
  <sheetViews>
    <sheetView showGridLines="0" defaultGridColor="0" colorId="12" workbookViewId="0" topLeftCell="A1">
      <selection activeCell="H29" sqref="H29"/>
    </sheetView>
  </sheetViews>
  <sheetFormatPr defaultColWidth="9.00390625" defaultRowHeight="13.5"/>
  <cols>
    <col min="2" max="2" width="4.375" style="0" customWidth="1"/>
    <col min="3" max="3" width="10.50390625" style="0" bestFit="1" customWidth="1"/>
    <col min="4" max="4" width="4.625" style="0" bestFit="1" customWidth="1"/>
    <col min="5" max="5" width="5.50390625" style="0" bestFit="1" customWidth="1"/>
    <col min="6" max="6" width="4.625" style="0" bestFit="1" customWidth="1"/>
    <col min="7" max="7" width="5.50390625" style="0" bestFit="1" customWidth="1"/>
    <col min="8" max="8" width="12.75390625" style="0" bestFit="1" customWidth="1"/>
    <col min="9" max="9" width="6.50390625" style="0" bestFit="1" customWidth="1"/>
    <col min="10" max="10" width="6.50390625" style="0" customWidth="1"/>
    <col min="11" max="11" width="6.50390625" style="0" bestFit="1" customWidth="1"/>
  </cols>
  <sheetData>
    <row r="1" spans="1:2" ht="31.5" customHeight="1">
      <c r="A1" s="1"/>
      <c r="B1" s="1" t="s">
        <v>871</v>
      </c>
    </row>
    <row r="3" ht="13.5">
      <c r="B3" t="s">
        <v>872</v>
      </c>
    </row>
    <row r="4" spans="2:12" ht="13.5">
      <c r="B4" s="458" t="s">
        <v>876</v>
      </c>
      <c r="C4" s="458"/>
      <c r="D4" s="458"/>
      <c r="E4" s="458"/>
      <c r="F4" s="458"/>
      <c r="G4" s="458"/>
      <c r="H4" s="458"/>
      <c r="I4" s="458"/>
      <c r="J4" s="458"/>
      <c r="K4" s="458"/>
      <c r="L4" s="458"/>
    </row>
    <row r="5" spans="2:12" ht="13.5">
      <c r="B5" s="458"/>
      <c r="C5" s="458"/>
      <c r="D5" s="458"/>
      <c r="E5" s="458"/>
      <c r="F5" s="458"/>
      <c r="G5" s="458"/>
      <c r="H5" s="458"/>
      <c r="I5" s="458"/>
      <c r="J5" s="458"/>
      <c r="K5" s="458"/>
      <c r="L5" s="458"/>
    </row>
    <row r="6" spans="2:8" ht="14.25" thickBot="1">
      <c r="B6" s="4"/>
      <c r="C6" s="4"/>
      <c r="D6" s="4"/>
      <c r="E6" s="4"/>
      <c r="F6" s="4"/>
      <c r="G6" s="4"/>
      <c r="H6" s="4"/>
    </row>
    <row r="7" spans="2:12" ht="45.75">
      <c r="B7" s="453" t="s">
        <v>338</v>
      </c>
      <c r="C7" s="231" t="s">
        <v>838</v>
      </c>
      <c r="D7" s="226">
        <v>1</v>
      </c>
      <c r="E7" s="226">
        <v>2</v>
      </c>
      <c r="F7" s="226">
        <v>3</v>
      </c>
      <c r="G7" s="226">
        <v>4</v>
      </c>
      <c r="H7" s="235" t="s">
        <v>341</v>
      </c>
      <c r="I7" s="226">
        <v>38353</v>
      </c>
      <c r="J7" s="226">
        <v>38384</v>
      </c>
      <c r="K7" s="226">
        <v>38385</v>
      </c>
      <c r="L7" s="222"/>
    </row>
    <row r="8" spans="2:12" ht="25.5" customHeight="1">
      <c r="B8" s="443"/>
      <c r="C8" s="223"/>
      <c r="D8" s="232"/>
      <c r="E8" s="232"/>
      <c r="F8" s="232"/>
      <c r="G8" s="232"/>
      <c r="H8" s="233"/>
      <c r="I8" s="233"/>
      <c r="J8" s="233"/>
      <c r="K8" s="233"/>
      <c r="L8" s="234"/>
    </row>
    <row r="9" spans="2:12" ht="18" customHeight="1" thickBot="1">
      <c r="B9" s="444"/>
      <c r="C9" s="230" t="s">
        <v>871</v>
      </c>
      <c r="D9" s="227">
        <v>1</v>
      </c>
      <c r="E9" s="227">
        <v>2</v>
      </c>
      <c r="F9" s="227">
        <v>3</v>
      </c>
      <c r="G9" s="227">
        <v>4</v>
      </c>
      <c r="H9" s="227" t="s">
        <v>209</v>
      </c>
      <c r="I9" s="225">
        <v>38353</v>
      </c>
      <c r="J9" s="225">
        <v>38384</v>
      </c>
      <c r="K9" s="225">
        <v>38385</v>
      </c>
      <c r="L9" s="224"/>
    </row>
    <row r="10" ht="10.5" customHeight="1"/>
    <row r="11" ht="6.75" customHeight="1" thickBot="1"/>
    <row r="12" spans="2:12" ht="46.5" customHeight="1">
      <c r="B12" s="453" t="s">
        <v>339</v>
      </c>
      <c r="C12" s="231" t="s">
        <v>340</v>
      </c>
      <c r="D12" s="228">
        <v>0</v>
      </c>
      <c r="E12" s="228">
        <v>0.25</v>
      </c>
      <c r="F12" s="228">
        <v>0.5</v>
      </c>
      <c r="G12" s="228">
        <v>0.75</v>
      </c>
      <c r="H12" s="319" t="s">
        <v>210</v>
      </c>
      <c r="I12" s="229">
        <v>1</v>
      </c>
      <c r="J12" s="229">
        <v>1.0416666666666667</v>
      </c>
      <c r="K12" s="229">
        <v>1.25</v>
      </c>
      <c r="L12" s="222"/>
    </row>
    <row r="13" spans="2:12" ht="25.5" customHeight="1">
      <c r="B13" s="443"/>
      <c r="C13" s="223"/>
      <c r="D13" s="233"/>
      <c r="E13" s="233"/>
      <c r="F13" s="233"/>
      <c r="G13" s="233"/>
      <c r="H13" s="233"/>
      <c r="I13" s="233"/>
      <c r="J13" s="233"/>
      <c r="K13" s="233"/>
      <c r="L13" s="234"/>
    </row>
    <row r="14" spans="2:12" ht="18" customHeight="1" thickBot="1">
      <c r="B14" s="444"/>
      <c r="C14" s="230" t="s">
        <v>871</v>
      </c>
      <c r="D14" s="225">
        <v>0</v>
      </c>
      <c r="E14" s="225">
        <v>0.25</v>
      </c>
      <c r="F14" s="225">
        <v>0.5</v>
      </c>
      <c r="G14" s="225">
        <v>0.75</v>
      </c>
      <c r="H14" s="225">
        <v>0.9583333333333334</v>
      </c>
      <c r="I14" s="225">
        <v>1</v>
      </c>
      <c r="J14" s="225">
        <v>1.0416666666666667</v>
      </c>
      <c r="K14" s="225">
        <v>1.25</v>
      </c>
      <c r="L14" s="224"/>
    </row>
    <row r="30" ht="13.5">
      <c r="C30" s="5"/>
    </row>
  </sheetData>
  <mergeCells count="3">
    <mergeCell ref="B7:B9"/>
    <mergeCell ref="B12:B14"/>
    <mergeCell ref="B4:L5"/>
  </mergeCells>
  <printOptions/>
  <pageMargins left="0.75" right="0.75" top="1" bottom="1" header="0.512" footer="0.512"/>
  <pageSetup orientation="portrait" paperSize="9" r:id="rId2"/>
  <headerFooter alignWithMargins="0">
    <oddHeader>&amp;L&amp;"Century,斜体"&amp;10SystemKOMACO&amp;RExcel：&amp;A</oddHeader>
    <oddFooter>&amp;L2005/2&amp;C&amp;P/&amp;N</oddFooter>
  </headerFooter>
  <drawing r:id="rId1"/>
</worksheet>
</file>

<file path=xl/worksheets/sheet5.xml><?xml version="1.0" encoding="utf-8"?>
<worksheet xmlns="http://schemas.openxmlformats.org/spreadsheetml/2006/main" xmlns:r="http://schemas.openxmlformats.org/officeDocument/2006/relationships">
  <sheetPr codeName="Sheet1"/>
  <dimension ref="B1:E78"/>
  <sheetViews>
    <sheetView workbookViewId="0" topLeftCell="A13">
      <selection activeCell="F58" sqref="F58"/>
    </sheetView>
  </sheetViews>
  <sheetFormatPr defaultColWidth="9.00390625" defaultRowHeight="13.5"/>
  <cols>
    <col min="2" max="5" width="19.375" style="0" customWidth="1"/>
  </cols>
  <sheetData>
    <row r="1" ht="31.5" customHeight="1">
      <c r="B1" s="1" t="s">
        <v>901</v>
      </c>
    </row>
    <row r="3" spans="2:5" ht="13.5">
      <c r="B3" s="445" t="s">
        <v>902</v>
      </c>
      <c r="C3" s="455"/>
      <c r="D3" s="455"/>
      <c r="E3" s="455"/>
    </row>
    <row r="4" spans="2:5" ht="13.5">
      <c r="B4" s="455"/>
      <c r="C4" s="455"/>
      <c r="D4" s="455"/>
      <c r="E4" s="455"/>
    </row>
    <row r="5" spans="2:5" ht="13.5">
      <c r="B5" s="455"/>
      <c r="C5" s="455"/>
      <c r="D5" s="455"/>
      <c r="E5" s="455"/>
    </row>
    <row r="7" spans="2:5" ht="13.5">
      <c r="B7" s="445" t="s">
        <v>903</v>
      </c>
      <c r="C7" s="455"/>
      <c r="D7" s="455"/>
      <c r="E7" s="455"/>
    </row>
    <row r="8" spans="2:5" ht="13.5">
      <c r="B8" s="455"/>
      <c r="C8" s="455"/>
      <c r="D8" s="455"/>
      <c r="E8" s="455"/>
    </row>
    <row r="9" spans="2:5" ht="13.5">
      <c r="B9" s="3"/>
      <c r="C9" s="3"/>
      <c r="D9" s="3"/>
      <c r="E9" s="3"/>
    </row>
    <row r="10" ht="13.5">
      <c r="B10" s="83" t="s">
        <v>737</v>
      </c>
    </row>
    <row r="12" ht="13.5">
      <c r="B12" s="171" t="s">
        <v>904</v>
      </c>
    </row>
    <row r="14" spans="2:3" ht="13.5">
      <c r="B14" s="368" t="s">
        <v>877</v>
      </c>
      <c r="C14" s="366"/>
    </row>
    <row r="15" spans="2:5" ht="13.5">
      <c r="B15" s="448" t="s">
        <v>731</v>
      </c>
      <c r="C15" s="449"/>
      <c r="D15" s="449"/>
      <c r="E15" s="432"/>
    </row>
    <row r="16" spans="2:5" ht="13.5">
      <c r="B16" s="367" t="str">
        <f ca="1">TEXT(TODAY(),"yy")&amp;TEXT((TODAY()-DATEVALUE(TEXT(TODAY(),"yy")&amp;"/1/1"))+1,"000")</f>
        <v>06136</v>
      </c>
      <c r="C16" s="446" t="s">
        <v>732</v>
      </c>
      <c r="D16" s="447"/>
      <c r="E16" s="447"/>
    </row>
    <row r="17" spans="2:5" ht="13.5">
      <c r="B17" s="436" t="s">
        <v>734</v>
      </c>
      <c r="C17" s="437"/>
      <c r="D17" s="437"/>
      <c r="E17" s="437"/>
    </row>
    <row r="18" spans="2:5" ht="13.5">
      <c r="B18" s="367" t="str">
        <f ca="1">TEXT(TODAY(),"yyyy")&amp;TEXT((TODAY()-DATEVALUE(TEXT(TODAY(),"yy")&amp;"/1/1"))+1,"000")</f>
        <v>2006136</v>
      </c>
      <c r="C18" s="446" t="s">
        <v>733</v>
      </c>
      <c r="D18" s="447"/>
      <c r="E18" s="447"/>
    </row>
    <row r="22" ht="13.5">
      <c r="B22" s="83" t="s">
        <v>738</v>
      </c>
    </row>
    <row r="23" ht="13.5">
      <c r="B23" s="171" t="s">
        <v>905</v>
      </c>
    </row>
    <row r="24" ht="13.5">
      <c r="C24" s="10"/>
    </row>
    <row r="25" spans="2:3" ht="13.5">
      <c r="B25" s="366"/>
      <c r="C25" s="10"/>
    </row>
    <row r="26" spans="2:3" ht="13.5">
      <c r="B26" s="371" t="s">
        <v>906</v>
      </c>
      <c r="C26" s="10"/>
    </row>
    <row r="27" spans="2:5" ht="13.5">
      <c r="B27" s="372">
        <v>39256</v>
      </c>
      <c r="C27" s="200"/>
      <c r="D27" s="223"/>
      <c r="E27" s="223"/>
    </row>
    <row r="28" spans="2:5" ht="13.5">
      <c r="B28" s="369" t="s">
        <v>877</v>
      </c>
      <c r="C28" s="370"/>
      <c r="D28" s="223"/>
      <c r="E28" s="223"/>
    </row>
    <row r="29" spans="2:5" ht="13.5">
      <c r="B29" s="438" t="s">
        <v>735</v>
      </c>
      <c r="C29" s="439"/>
      <c r="D29" s="439"/>
      <c r="E29" s="439"/>
    </row>
    <row r="30" spans="2:5" ht="13.5">
      <c r="B30" s="367" t="str">
        <f>TEXT(B27,"yy")&amp;TEXT((B27-DATEVALUE(TEXT(B27,"yy")&amp;"/1/1"))+1,"000")</f>
        <v>07174</v>
      </c>
      <c r="C30" s="446" t="s">
        <v>907</v>
      </c>
      <c r="D30" s="435"/>
      <c r="E30" s="435"/>
    </row>
    <row r="31" spans="2:5" ht="13.5">
      <c r="B31" s="436" t="s">
        <v>736</v>
      </c>
      <c r="C31" s="465"/>
      <c r="D31" s="465"/>
      <c r="E31" s="465"/>
    </row>
    <row r="32" spans="2:5" ht="13.5">
      <c r="B32" s="367" t="str">
        <f>TEXT(B27,"yyyy")&amp;TEXT((B27-DATEVALUE(TEXT(B27,"yy")&amp;"/1/1"))+1,"000")</f>
        <v>2007174</v>
      </c>
      <c r="C32" s="446" t="s">
        <v>908</v>
      </c>
      <c r="D32" s="435"/>
      <c r="E32" s="435"/>
    </row>
    <row r="33" spans="2:5" ht="13.5">
      <c r="B33" s="373"/>
      <c r="C33" s="373"/>
      <c r="D33" s="308"/>
      <c r="E33" s="308"/>
    </row>
    <row r="34" spans="2:5" ht="13.5">
      <c r="B34" s="433" t="s">
        <v>909</v>
      </c>
      <c r="C34" s="433"/>
      <c r="D34" s="434"/>
      <c r="E34" s="434"/>
    </row>
    <row r="35" spans="2:5" ht="13.5">
      <c r="B35" s="434"/>
      <c r="C35" s="434"/>
      <c r="D35" s="434"/>
      <c r="E35" s="434"/>
    </row>
    <row r="78" ht="13.5">
      <c r="B78" s="413"/>
    </row>
  </sheetData>
  <mergeCells count="11">
    <mergeCell ref="B34:E35"/>
    <mergeCell ref="C30:E30"/>
    <mergeCell ref="C32:E32"/>
    <mergeCell ref="B17:E17"/>
    <mergeCell ref="B29:E29"/>
    <mergeCell ref="B31:E31"/>
    <mergeCell ref="B3:E5"/>
    <mergeCell ref="B7:E8"/>
    <mergeCell ref="C16:E16"/>
    <mergeCell ref="C18:E18"/>
    <mergeCell ref="B15:E15"/>
  </mergeCells>
  <printOptions/>
  <pageMargins left="0.75" right="0.75" top="1" bottom="1" header="0.512" footer="0.512"/>
  <pageSetup orientation="portrait" paperSize="9" r:id="rId2"/>
  <headerFooter alignWithMargins="0">
    <oddHeader>&amp;L&amp;"Century,斜体"&amp;10SystemKOMACO&amp;RExcel：&amp;A</oddHeader>
    <oddFooter>&amp;L2005/2&amp;C&amp;P/&amp;N</oddFooter>
  </headerFooter>
  <drawing r:id="rId1"/>
</worksheet>
</file>

<file path=xl/worksheets/sheet6.xml><?xml version="1.0" encoding="utf-8"?>
<worksheet xmlns="http://schemas.openxmlformats.org/spreadsheetml/2006/main" xmlns:r="http://schemas.openxmlformats.org/officeDocument/2006/relationships">
  <sheetPr codeName="Sheet8"/>
  <dimension ref="A1:E37"/>
  <sheetViews>
    <sheetView workbookViewId="0" topLeftCell="A1">
      <selection activeCell="B1" sqref="B1"/>
    </sheetView>
  </sheetViews>
  <sheetFormatPr defaultColWidth="9.00390625" defaultRowHeight="13.5"/>
  <cols>
    <col min="2" max="5" width="19.375" style="0" customWidth="1"/>
  </cols>
  <sheetData>
    <row r="1" ht="31.5" customHeight="1">
      <c r="B1" s="1" t="s">
        <v>930</v>
      </c>
    </row>
    <row r="3" spans="1:5" ht="13.5">
      <c r="A3" s="40" t="s">
        <v>652</v>
      </c>
      <c r="B3" s="468" t="s">
        <v>936</v>
      </c>
      <c r="C3" s="468"/>
      <c r="D3" s="468"/>
      <c r="E3" s="469"/>
    </row>
    <row r="4" spans="1:5" ht="13.5">
      <c r="A4" s="41"/>
      <c r="B4" s="470" t="s">
        <v>937</v>
      </c>
      <c r="C4" s="470"/>
      <c r="D4" s="470"/>
      <c r="E4" s="471"/>
    </row>
    <row r="5" spans="1:5" ht="13.5">
      <c r="A5" s="41"/>
      <c r="B5" s="470"/>
      <c r="C5" s="470"/>
      <c r="D5" s="470"/>
      <c r="E5" s="471"/>
    </row>
    <row r="6" spans="2:5" ht="13.5">
      <c r="B6" s="4"/>
      <c r="C6" s="4"/>
      <c r="D6" s="4"/>
      <c r="E6" s="4"/>
    </row>
    <row r="7" spans="1:5" ht="13.5">
      <c r="A7" s="42" t="s">
        <v>631</v>
      </c>
      <c r="B7" s="472" t="s">
        <v>938</v>
      </c>
      <c r="C7" s="473"/>
      <c r="D7" s="473"/>
      <c r="E7" s="474"/>
    </row>
    <row r="9" spans="1:5" ht="13.5">
      <c r="A9" s="35" t="s">
        <v>655</v>
      </c>
      <c r="B9" s="475" t="s">
        <v>871</v>
      </c>
      <c r="C9" s="458"/>
      <c r="D9" s="458"/>
      <c r="E9" s="458"/>
    </row>
    <row r="10" spans="1:5" ht="13.5">
      <c r="A10" s="36"/>
      <c r="B10" s="466" t="s">
        <v>1011</v>
      </c>
      <c r="C10" s="458"/>
      <c r="D10" s="458"/>
      <c r="E10" s="458"/>
    </row>
    <row r="11" spans="1:5" ht="13.5" customHeight="1">
      <c r="A11" s="36"/>
      <c r="B11" s="467"/>
      <c r="C11" s="458"/>
      <c r="D11" s="458"/>
      <c r="E11" s="458"/>
    </row>
    <row r="12" spans="1:5" ht="13.5">
      <c r="A12" s="36"/>
      <c r="B12" s="467"/>
      <c r="C12" s="458"/>
      <c r="D12" s="458"/>
      <c r="E12" s="458"/>
    </row>
    <row r="13" spans="1:5" ht="13.5">
      <c r="A13" s="36"/>
      <c r="B13" s="467"/>
      <c r="C13" s="458"/>
      <c r="D13" s="458"/>
      <c r="E13" s="458"/>
    </row>
    <row r="14" spans="1:5" ht="16.5" customHeight="1">
      <c r="A14" s="10"/>
      <c r="B14" s="11"/>
      <c r="C14" s="11"/>
      <c r="D14" s="11"/>
      <c r="E14" s="11"/>
    </row>
    <row r="15" spans="1:5" ht="16.5" customHeight="1">
      <c r="A15" s="10"/>
      <c r="B15" s="130" t="s">
        <v>882</v>
      </c>
      <c r="C15" s="11"/>
      <c r="D15" s="11"/>
      <c r="E15" s="11"/>
    </row>
    <row r="16" spans="1:5" ht="16.5" customHeight="1">
      <c r="A16" s="10"/>
      <c r="B16" s="151" t="s">
        <v>660</v>
      </c>
      <c r="C16" s="150" t="s">
        <v>661</v>
      </c>
      <c r="D16" s="441" t="s">
        <v>883</v>
      </c>
      <c r="E16" s="441"/>
    </row>
    <row r="17" spans="1:5" ht="16.5" customHeight="1">
      <c r="A17" s="10"/>
      <c r="B17" s="132" t="s">
        <v>939</v>
      </c>
      <c r="C17" s="154">
        <f>YEAR("2005/2/14")</f>
        <v>2005</v>
      </c>
      <c r="D17" s="157"/>
      <c r="E17" s="157"/>
    </row>
    <row r="18" spans="1:5" ht="16.5" customHeight="1">
      <c r="A18" s="10"/>
      <c r="B18" s="132" t="s">
        <v>940</v>
      </c>
      <c r="C18" s="154">
        <f>YEAR("2005/2")</f>
        <v>2005</v>
      </c>
      <c r="D18" s="157"/>
      <c r="E18" s="157"/>
    </row>
    <row r="19" spans="1:5" ht="16.5" customHeight="1">
      <c r="A19" s="10"/>
      <c r="B19" s="132" t="s">
        <v>941</v>
      </c>
      <c r="C19" s="154">
        <f>YEAR("2/14")</f>
        <v>2005</v>
      </c>
      <c r="D19" s="157" t="s">
        <v>950</v>
      </c>
      <c r="E19" s="157"/>
    </row>
    <row r="20" spans="1:5" ht="16.5" customHeight="1">
      <c r="A20" s="10"/>
      <c r="B20" s="132"/>
      <c r="C20" s="154"/>
      <c r="D20" s="157"/>
      <c r="E20" s="157"/>
    </row>
    <row r="21" spans="1:5" ht="16.5" customHeight="1">
      <c r="A21" s="10"/>
      <c r="B21" s="132" t="s">
        <v>947</v>
      </c>
      <c r="C21" s="155">
        <f>YEAR(38352)</f>
        <v>2004</v>
      </c>
      <c r="D21" s="173" t="s">
        <v>948</v>
      </c>
      <c r="E21" s="157"/>
    </row>
    <row r="22" spans="1:5" ht="16.5" customHeight="1">
      <c r="A22" s="10"/>
      <c r="B22" s="132" t="s">
        <v>942</v>
      </c>
      <c r="C22" s="155">
        <f>YEAR(38353)</f>
        <v>2005</v>
      </c>
      <c r="D22" s="173" t="s">
        <v>943</v>
      </c>
      <c r="E22" s="157"/>
    </row>
    <row r="23" spans="2:5" ht="16.5" customHeight="1">
      <c r="B23" s="132" t="s">
        <v>944</v>
      </c>
      <c r="C23" s="155">
        <f>YEAR(38717)</f>
        <v>2005</v>
      </c>
      <c r="D23" s="173" t="s">
        <v>945</v>
      </c>
      <c r="E23" s="178"/>
    </row>
    <row r="24" spans="2:5" ht="16.5" customHeight="1">
      <c r="B24" s="132" t="s">
        <v>946</v>
      </c>
      <c r="C24" s="155">
        <f>YEAR(38718)</f>
        <v>2006</v>
      </c>
      <c r="D24" s="173" t="s">
        <v>949</v>
      </c>
      <c r="E24" s="178"/>
    </row>
    <row r="25" spans="2:4" ht="16.5" customHeight="1">
      <c r="B25" s="17"/>
      <c r="C25" s="11"/>
      <c r="D25" s="160"/>
    </row>
    <row r="26" spans="2:5" ht="16.5" customHeight="1">
      <c r="B26" s="442" t="s">
        <v>953</v>
      </c>
      <c r="C26" s="428"/>
      <c r="D26" s="428"/>
      <c r="E26" s="428"/>
    </row>
    <row r="27" spans="2:5" ht="16.5" customHeight="1">
      <c r="B27" s="431" t="s">
        <v>951</v>
      </c>
      <c r="C27" s="430"/>
      <c r="D27" s="176">
        <f>YEAR(DATE(2005,5,5))</f>
        <v>2005</v>
      </c>
      <c r="E27" s="178"/>
    </row>
    <row r="28" spans="2:5" ht="16.5" customHeight="1">
      <c r="B28" s="429" t="s">
        <v>952</v>
      </c>
      <c r="C28" s="430"/>
      <c r="D28" s="176">
        <f>YEAR(DATE(2005,12,32))</f>
        <v>2006</v>
      </c>
      <c r="E28" s="178" t="s">
        <v>956</v>
      </c>
    </row>
    <row r="29" spans="2:3" ht="16.5" customHeight="1">
      <c r="B29" s="16"/>
      <c r="C29" s="5"/>
    </row>
    <row r="30" spans="2:3" ht="16.5" customHeight="1">
      <c r="B30" s="83" t="s">
        <v>957</v>
      </c>
      <c r="C30" s="5"/>
    </row>
    <row r="31" spans="2:5" ht="16.5" customHeight="1">
      <c r="B31" s="440" t="s">
        <v>958</v>
      </c>
      <c r="C31" s="440"/>
      <c r="D31" s="177">
        <f>YEAR("2005/2/14")-1</f>
        <v>2004</v>
      </c>
      <c r="E31" s="178" t="s">
        <v>959</v>
      </c>
    </row>
    <row r="32" spans="2:5" ht="13.5">
      <c r="B32" s="440" t="s">
        <v>954</v>
      </c>
      <c r="C32" s="440"/>
      <c r="D32" s="177">
        <f>YEAR("2005/2/14")+1</f>
        <v>2006</v>
      </c>
      <c r="E32" s="178" t="s">
        <v>955</v>
      </c>
    </row>
    <row r="33" ht="13.5">
      <c r="D33" s="179"/>
    </row>
    <row r="35" ht="13.5">
      <c r="B35" s="83" t="s">
        <v>961</v>
      </c>
    </row>
    <row r="36" spans="2:4" ht="13.5">
      <c r="B36" s="440" t="s">
        <v>960</v>
      </c>
      <c r="C36" s="458"/>
      <c r="D36" s="458"/>
    </row>
    <row r="37" spans="3:4" ht="13.5">
      <c r="C37" s="181"/>
      <c r="D37" s="180" t="str">
        <f>"今年は"&amp;YEAR("2005/2/14")&amp;"年です。"</f>
        <v>今年は2005年です。</v>
      </c>
    </row>
  </sheetData>
  <mergeCells count="12">
    <mergeCell ref="B10:E13"/>
    <mergeCell ref="B3:E3"/>
    <mergeCell ref="B4:E5"/>
    <mergeCell ref="B7:E7"/>
    <mergeCell ref="B9:E9"/>
    <mergeCell ref="B32:C32"/>
    <mergeCell ref="B36:D36"/>
    <mergeCell ref="D16:E16"/>
    <mergeCell ref="B26:E26"/>
    <mergeCell ref="B31:C31"/>
    <mergeCell ref="B28:C28"/>
    <mergeCell ref="B27:C27"/>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&amp;L2005/2&amp;C&amp;P/&amp;N</oddFooter>
  </headerFooter>
  <ignoredErrors>
    <ignoredError sqref="C18" formula="1"/>
  </ignoredErrors>
  <drawing r:id="rId1"/>
</worksheet>
</file>

<file path=xl/worksheets/sheet7.xml><?xml version="1.0" encoding="utf-8"?>
<worksheet xmlns="http://schemas.openxmlformats.org/spreadsheetml/2006/main" xmlns:r="http://schemas.openxmlformats.org/officeDocument/2006/relationships">
  <sheetPr codeName="Sheet10"/>
  <dimension ref="A1:E76"/>
  <sheetViews>
    <sheetView workbookViewId="0" topLeftCell="A1">
      <selection activeCell="B1" sqref="B1"/>
    </sheetView>
  </sheetViews>
  <sheetFormatPr defaultColWidth="9.00390625" defaultRowHeight="13.5"/>
  <cols>
    <col min="2" max="5" width="19.375" style="0" customWidth="1"/>
  </cols>
  <sheetData>
    <row r="1" ht="31.5" customHeight="1">
      <c r="B1" s="1" t="s">
        <v>965</v>
      </c>
    </row>
    <row r="3" spans="1:5" ht="13.5">
      <c r="A3" s="40" t="s">
        <v>652</v>
      </c>
      <c r="B3" s="468" t="s">
        <v>963</v>
      </c>
      <c r="C3" s="468"/>
      <c r="D3" s="468"/>
      <c r="E3" s="469"/>
    </row>
    <row r="4" spans="1:5" ht="13.5">
      <c r="A4" s="41"/>
      <c r="B4" s="470" t="s">
        <v>966</v>
      </c>
      <c r="C4" s="470"/>
      <c r="D4" s="470"/>
      <c r="E4" s="471"/>
    </row>
    <row r="5" spans="1:5" ht="13.5">
      <c r="A5" s="41"/>
      <c r="B5" s="470"/>
      <c r="C5" s="470"/>
      <c r="D5" s="470"/>
      <c r="E5" s="471"/>
    </row>
    <row r="6" spans="2:5" ht="13.5">
      <c r="B6" s="4"/>
      <c r="C6" s="4"/>
      <c r="D6" s="4"/>
      <c r="E6" s="4"/>
    </row>
    <row r="7" spans="1:5" ht="13.5">
      <c r="A7" s="42" t="s">
        <v>631</v>
      </c>
      <c r="B7" s="472" t="s">
        <v>962</v>
      </c>
      <c r="C7" s="473"/>
      <c r="D7" s="473"/>
      <c r="E7" s="474"/>
    </row>
    <row r="9" spans="1:5" ht="13.5">
      <c r="A9" s="35" t="s">
        <v>655</v>
      </c>
      <c r="B9" s="475" t="s">
        <v>871</v>
      </c>
      <c r="C9" s="458"/>
      <c r="D9" s="458"/>
      <c r="E9" s="458"/>
    </row>
    <row r="10" spans="1:5" ht="13.5">
      <c r="A10" s="36"/>
      <c r="B10" s="466" t="s">
        <v>1019</v>
      </c>
      <c r="C10" s="458"/>
      <c r="D10" s="458"/>
      <c r="E10" s="458"/>
    </row>
    <row r="11" spans="1:5" ht="13.5" customHeight="1">
      <c r="A11" s="36"/>
      <c r="B11" s="467"/>
      <c r="C11" s="458"/>
      <c r="D11" s="458"/>
      <c r="E11" s="458"/>
    </row>
    <row r="12" spans="1:5" ht="13.5">
      <c r="A12" s="36"/>
      <c r="B12" s="467"/>
      <c r="C12" s="458"/>
      <c r="D12" s="458"/>
      <c r="E12" s="458"/>
    </row>
    <row r="13" spans="1:5" ht="13.5">
      <c r="A13" s="36"/>
      <c r="B13" s="467"/>
      <c r="C13" s="458"/>
      <c r="D13" s="458"/>
      <c r="E13" s="458"/>
    </row>
    <row r="14" spans="1:5" ht="16.5" customHeight="1">
      <c r="A14" s="10"/>
      <c r="B14" s="11"/>
      <c r="C14" s="11"/>
      <c r="D14" s="11"/>
      <c r="E14" s="11"/>
    </row>
    <row r="15" spans="1:5" ht="16.5" customHeight="1">
      <c r="A15" s="10"/>
      <c r="B15" s="130" t="s">
        <v>882</v>
      </c>
      <c r="C15" s="11"/>
      <c r="D15" s="11"/>
      <c r="E15" s="11"/>
    </row>
    <row r="16" spans="1:5" ht="16.5" customHeight="1">
      <c r="A16" s="10"/>
      <c r="B16" s="151" t="s">
        <v>660</v>
      </c>
      <c r="C16" s="150" t="s">
        <v>661</v>
      </c>
      <c r="D16" s="441" t="s">
        <v>883</v>
      </c>
      <c r="E16" s="441"/>
    </row>
    <row r="17" spans="1:5" ht="16.5" customHeight="1">
      <c r="A17" s="10"/>
      <c r="B17" s="125" t="s">
        <v>967</v>
      </c>
      <c r="C17" s="154">
        <f>MONTH("2005/2/14")</f>
        <v>2</v>
      </c>
      <c r="D17" s="157"/>
      <c r="E17" s="157"/>
    </row>
    <row r="18" spans="1:5" ht="16.5" customHeight="1">
      <c r="A18" s="10"/>
      <c r="B18" s="132" t="s">
        <v>968</v>
      </c>
      <c r="C18" s="154">
        <f>MONTH("2005/2")</f>
        <v>2</v>
      </c>
      <c r="D18" s="157"/>
      <c r="E18" s="157"/>
    </row>
    <row r="19" spans="1:5" ht="16.5" customHeight="1">
      <c r="A19" s="10"/>
      <c r="B19" s="132" t="s">
        <v>969</v>
      </c>
      <c r="C19" s="154">
        <f>MONTH("2/14")</f>
        <v>2</v>
      </c>
      <c r="D19" s="157"/>
      <c r="E19" s="157"/>
    </row>
    <row r="20" spans="1:5" ht="16.5" customHeight="1">
      <c r="A20" s="10"/>
      <c r="B20" s="132"/>
      <c r="C20" s="154"/>
      <c r="D20" s="157"/>
      <c r="E20" s="157"/>
    </row>
    <row r="21" spans="1:5" ht="16.5" customHeight="1">
      <c r="A21" s="10"/>
      <c r="B21" s="132" t="s">
        <v>970</v>
      </c>
      <c r="C21" s="155">
        <f>MONTH(38352)</f>
        <v>12</v>
      </c>
      <c r="D21" s="173" t="s">
        <v>948</v>
      </c>
      <c r="E21" s="157"/>
    </row>
    <row r="22" spans="1:5" ht="16.5" customHeight="1">
      <c r="A22" s="10"/>
      <c r="B22" s="132" t="s">
        <v>971</v>
      </c>
      <c r="C22" s="155">
        <f>MONTH(38353)</f>
        <v>1</v>
      </c>
      <c r="D22" s="173" t="s">
        <v>943</v>
      </c>
      <c r="E22" s="157"/>
    </row>
    <row r="23" spans="2:5" ht="16.5" customHeight="1">
      <c r="B23" s="132" t="s">
        <v>972</v>
      </c>
      <c r="C23" s="155">
        <f>MONTH(38686)</f>
        <v>11</v>
      </c>
      <c r="D23" s="173" t="s">
        <v>973</v>
      </c>
      <c r="E23" s="178"/>
    </row>
    <row r="24" spans="2:5" ht="16.5" customHeight="1">
      <c r="B24" s="132" t="s">
        <v>974</v>
      </c>
      <c r="C24" s="155">
        <f>MONTH(38718)</f>
        <v>1</v>
      </c>
      <c r="D24" s="173" t="s">
        <v>949</v>
      </c>
      <c r="E24" s="178"/>
    </row>
    <row r="25" spans="2:4" ht="16.5" customHeight="1">
      <c r="B25" s="17"/>
      <c r="C25" s="11"/>
      <c r="D25" s="160"/>
    </row>
    <row r="26" spans="2:5" ht="16.5" customHeight="1">
      <c r="B26" s="442" t="s">
        <v>953</v>
      </c>
      <c r="C26" s="428"/>
      <c r="D26" s="428"/>
      <c r="E26" s="428"/>
    </row>
    <row r="27" spans="2:5" ht="16.5" customHeight="1">
      <c r="B27" s="431" t="s">
        <v>975</v>
      </c>
      <c r="C27" s="430"/>
      <c r="D27" s="176">
        <f>MONTH(DATE(2005,5,5))</f>
        <v>5</v>
      </c>
      <c r="E27" s="178"/>
    </row>
    <row r="28" spans="2:5" ht="16.5" customHeight="1">
      <c r="B28" s="429" t="s">
        <v>976</v>
      </c>
      <c r="C28" s="430"/>
      <c r="D28" s="176">
        <f>MONTH(DATE(2005,12,32))</f>
        <v>1</v>
      </c>
      <c r="E28" s="182" t="s">
        <v>981</v>
      </c>
    </row>
    <row r="29" spans="2:3" ht="16.5" customHeight="1">
      <c r="B29" s="16"/>
      <c r="C29" s="5"/>
    </row>
    <row r="30" spans="2:3" ht="16.5" customHeight="1">
      <c r="B30" s="83" t="s">
        <v>957</v>
      </c>
      <c r="C30" s="5"/>
    </row>
    <row r="31" spans="2:5" ht="16.5" customHeight="1">
      <c r="B31" s="440" t="s">
        <v>977</v>
      </c>
      <c r="C31" s="440"/>
      <c r="D31" s="177">
        <f>MONTH("2005/2/14")-1</f>
        <v>1</v>
      </c>
      <c r="E31" s="178" t="s">
        <v>979</v>
      </c>
    </row>
    <row r="32" spans="2:5" ht="13.5">
      <c r="B32" s="440" t="s">
        <v>978</v>
      </c>
      <c r="C32" s="440"/>
      <c r="D32" s="177">
        <f>MONTH("2005/2/14")+1</f>
        <v>3</v>
      </c>
      <c r="E32" s="178" t="s">
        <v>980</v>
      </c>
    </row>
    <row r="33" ht="13.5">
      <c r="D33" s="179"/>
    </row>
    <row r="35" ht="13.5">
      <c r="B35" s="83" t="s">
        <v>961</v>
      </c>
    </row>
    <row r="36" spans="2:4" ht="13.5">
      <c r="B36" s="440" t="s">
        <v>982</v>
      </c>
      <c r="C36" s="458"/>
      <c r="D36" s="458"/>
    </row>
    <row r="37" spans="3:4" ht="13.5">
      <c r="C37" s="181"/>
      <c r="D37" s="180" t="str">
        <f>"今月は"&amp;MONTH("2005/2/14")&amp;"月です。"</f>
        <v>今月は2月です。</v>
      </c>
    </row>
    <row r="39" ht="13.5">
      <c r="B39" s="83" t="s">
        <v>925</v>
      </c>
    </row>
    <row r="40" ht="13.5">
      <c r="B40" t="s">
        <v>983</v>
      </c>
    </row>
    <row r="41" spans="1:5" ht="13.5">
      <c r="A41" s="183" t="s">
        <v>984</v>
      </c>
      <c r="B41" s="465" t="s">
        <v>986</v>
      </c>
      <c r="C41" s="462"/>
      <c r="D41" s="137">
        <f>MONTH("2005/4/3")-MONTH("2004/1/10")</f>
        <v>3</v>
      </c>
      <c r="E41" s="13"/>
    </row>
    <row r="42" ht="13.5">
      <c r="B42" t="s">
        <v>985</v>
      </c>
    </row>
    <row r="44" ht="13.5">
      <c r="B44" t="s">
        <v>992</v>
      </c>
    </row>
    <row r="45" spans="1:4" ht="13.5">
      <c r="A45" s="183" t="s">
        <v>987</v>
      </c>
      <c r="B45" s="465" t="s">
        <v>988</v>
      </c>
      <c r="C45" s="465"/>
      <c r="D45" s="137">
        <f>MONTH("2005/4/3")-MONTH("2005/1/10")</f>
        <v>3</v>
      </c>
    </row>
    <row r="46" spans="2:5" ht="27" customHeight="1">
      <c r="B46" s="434" t="s">
        <v>989</v>
      </c>
      <c r="C46" s="458"/>
      <c r="D46" s="458"/>
      <c r="E46" s="458"/>
    </row>
    <row r="47" spans="2:4" ht="13.5">
      <c r="B47" s="121"/>
      <c r="C47" s="184"/>
      <c r="D47" s="13"/>
    </row>
    <row r="48" spans="2:4" ht="13.5">
      <c r="B48" s="121" t="s">
        <v>993</v>
      </c>
      <c r="C48" s="184"/>
      <c r="D48" s="13"/>
    </row>
    <row r="49" spans="1:5" ht="13.5">
      <c r="A49" s="183" t="s">
        <v>987</v>
      </c>
      <c r="B49" s="465" t="s">
        <v>990</v>
      </c>
      <c r="C49" s="465"/>
      <c r="D49" s="465"/>
      <c r="E49" s="465"/>
    </row>
    <row r="50" spans="2:4" ht="13.5">
      <c r="B50" s="16"/>
      <c r="D50" s="137">
        <f>(YEAR("2005/4/3")-YEAR("2004/1/10"))*12+MONTH("2005/4/3")-MONTH("2004/1/10")</f>
        <v>15</v>
      </c>
    </row>
    <row r="51" spans="2:4" ht="13.5">
      <c r="B51" t="s">
        <v>991</v>
      </c>
      <c r="D51" s="13"/>
    </row>
    <row r="52" ht="13.5">
      <c r="B52" s="16"/>
    </row>
    <row r="53" ht="13.5">
      <c r="B53" t="s">
        <v>994</v>
      </c>
    </row>
    <row r="54" spans="2:5" ht="13.5">
      <c r="B54" s="54" t="s">
        <v>995</v>
      </c>
      <c r="C54" s="55"/>
      <c r="D54" s="55"/>
      <c r="E54" s="137">
        <f>(DATEVALUE("2005/4/3")-DATEVALUE("2004/1/10"))</f>
        <v>449</v>
      </c>
    </row>
    <row r="55" spans="2:5" ht="13.5">
      <c r="B55" s="54" t="s">
        <v>999</v>
      </c>
      <c r="C55" s="55"/>
      <c r="D55" s="55"/>
      <c r="E55" s="137">
        <f>(DATEVALUE("2005/4/10")-DATEVALUE("2004/1/10"))</f>
        <v>456</v>
      </c>
    </row>
    <row r="56" ht="13.5">
      <c r="B56" t="s">
        <v>996</v>
      </c>
    </row>
    <row r="57" ht="13.5">
      <c r="B57" t="s">
        <v>997</v>
      </c>
    </row>
    <row r="58" spans="2:5" ht="27" customHeight="1">
      <c r="B58" s="458" t="s">
        <v>1000</v>
      </c>
      <c r="C58" s="458"/>
      <c r="D58" s="458"/>
      <c r="E58" s="458"/>
    </row>
    <row r="60" spans="2:4" ht="13.5">
      <c r="B60" s="16" t="s">
        <v>998</v>
      </c>
      <c r="C60">
        <f>449/(365/12)</f>
        <v>14.761643835616438</v>
      </c>
      <c r="D60" t="s">
        <v>1002</v>
      </c>
    </row>
    <row r="61" spans="2:4" ht="13.5">
      <c r="B61" s="16" t="s">
        <v>1001</v>
      </c>
      <c r="C61">
        <f>(456+1)/(365/12)</f>
        <v>15.024657534246575</v>
      </c>
      <c r="D61" t="s">
        <v>1003</v>
      </c>
    </row>
    <row r="62" ht="13.5">
      <c r="B62" s="16"/>
    </row>
    <row r="63" ht="13.5">
      <c r="B63" t="s">
        <v>1009</v>
      </c>
    </row>
    <row r="66" ht="13.5">
      <c r="B66" t="s">
        <v>1004</v>
      </c>
    </row>
    <row r="67" spans="2:4" ht="13.5">
      <c r="B67" s="54" t="s">
        <v>1005</v>
      </c>
      <c r="C67" s="55"/>
      <c r="D67" s="137">
        <f>DATEDIF("2004/1/10","2005/4/3","m")</f>
        <v>14</v>
      </c>
    </row>
    <row r="68" spans="2:4" ht="13.5">
      <c r="B68" s="54" t="s">
        <v>1006</v>
      </c>
      <c r="C68" s="55"/>
      <c r="D68" s="137">
        <f>DATEDIF("2004/1/10","2005/4/9","m")</f>
        <v>14</v>
      </c>
    </row>
    <row r="69" spans="2:4" ht="13.5">
      <c r="B69" s="54" t="s">
        <v>1007</v>
      </c>
      <c r="C69" s="55"/>
      <c r="D69" s="137">
        <f>DATEDIF("2004/1/10","2005/4/10","m")</f>
        <v>15</v>
      </c>
    </row>
    <row r="70" spans="2:4" ht="13.5">
      <c r="B70" s="54" t="s">
        <v>1008</v>
      </c>
      <c r="C70" s="55"/>
      <c r="D70" s="137">
        <f>DATEDIF("2004/1/10","2005/4/11","m")</f>
        <v>15</v>
      </c>
    </row>
    <row r="71" ht="13.5">
      <c r="E71" s="185" t="s">
        <v>1010</v>
      </c>
    </row>
    <row r="73" spans="1:2" ht="13.5">
      <c r="A73" t="s">
        <v>1012</v>
      </c>
      <c r="B73" s="10" t="s">
        <v>1013</v>
      </c>
    </row>
    <row r="76" ht="13.5">
      <c r="B76" s="13"/>
    </row>
  </sheetData>
  <mergeCells count="17">
    <mergeCell ref="B41:C41"/>
    <mergeCell ref="B45:C45"/>
    <mergeCell ref="B49:E49"/>
    <mergeCell ref="B58:E58"/>
    <mergeCell ref="B46:E46"/>
    <mergeCell ref="B32:C32"/>
    <mergeCell ref="B36:D36"/>
    <mergeCell ref="D16:E16"/>
    <mergeCell ref="B26:E26"/>
    <mergeCell ref="B31:C31"/>
    <mergeCell ref="B28:C28"/>
    <mergeCell ref="B27:C27"/>
    <mergeCell ref="B10:E13"/>
    <mergeCell ref="B3:E3"/>
    <mergeCell ref="B4:E5"/>
    <mergeCell ref="B7:E7"/>
    <mergeCell ref="B9:E9"/>
  </mergeCells>
  <hyperlinks>
    <hyperlink ref="E71" location="DATEDIF関数!B1" display="DATEDIF関数"/>
  </hyperlink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&amp;L2005/2&amp;C&amp;P/&amp;N</oddFooter>
  </headerFooter>
  <rowBreaks count="1" manualBreakCount="1">
    <brk id="38" max="255" man="1"/>
  </rowBreaks>
  <drawing r:id="rId1"/>
</worksheet>
</file>

<file path=xl/worksheets/sheet8.xml><?xml version="1.0" encoding="utf-8"?>
<worksheet xmlns="http://schemas.openxmlformats.org/spreadsheetml/2006/main" xmlns:r="http://schemas.openxmlformats.org/officeDocument/2006/relationships">
  <sheetPr codeName="Sheet11"/>
  <dimension ref="A1:E83"/>
  <sheetViews>
    <sheetView workbookViewId="0" topLeftCell="A1">
      <selection activeCell="B1" sqref="B1"/>
    </sheetView>
  </sheetViews>
  <sheetFormatPr defaultColWidth="9.00390625" defaultRowHeight="13.5"/>
  <cols>
    <col min="2" max="5" width="19.375" style="0" customWidth="1"/>
  </cols>
  <sheetData>
    <row r="1" ht="31.5" customHeight="1">
      <c r="B1" s="1" t="s">
        <v>1014</v>
      </c>
    </row>
    <row r="3" spans="1:5" ht="13.5">
      <c r="A3" s="40" t="s">
        <v>652</v>
      </c>
      <c r="B3" s="468" t="s">
        <v>1016</v>
      </c>
      <c r="C3" s="468"/>
      <c r="D3" s="468"/>
      <c r="E3" s="469"/>
    </row>
    <row r="4" spans="1:5" ht="13.5">
      <c r="A4" s="41"/>
      <c r="B4" s="470" t="s">
        <v>1018</v>
      </c>
      <c r="C4" s="470"/>
      <c r="D4" s="470"/>
      <c r="E4" s="471"/>
    </row>
    <row r="5" spans="1:5" ht="13.5">
      <c r="A5" s="41"/>
      <c r="B5" s="470"/>
      <c r="C5" s="470"/>
      <c r="D5" s="470"/>
      <c r="E5" s="471"/>
    </row>
    <row r="6" spans="2:5" ht="13.5">
      <c r="B6" s="4"/>
      <c r="C6" s="4"/>
      <c r="D6" s="4"/>
      <c r="E6" s="4"/>
    </row>
    <row r="7" spans="1:5" ht="13.5">
      <c r="A7" s="42" t="s">
        <v>631</v>
      </c>
      <c r="B7" s="472" t="s">
        <v>1015</v>
      </c>
      <c r="C7" s="473"/>
      <c r="D7" s="473"/>
      <c r="E7" s="474"/>
    </row>
    <row r="9" spans="1:5" ht="13.5">
      <c r="A9" s="35" t="s">
        <v>655</v>
      </c>
      <c r="B9" s="475" t="s">
        <v>871</v>
      </c>
      <c r="C9" s="458"/>
      <c r="D9" s="458"/>
      <c r="E9" s="458"/>
    </row>
    <row r="10" spans="1:5" ht="13.5">
      <c r="A10" s="36"/>
      <c r="B10" s="466" t="s">
        <v>1020</v>
      </c>
      <c r="C10" s="458"/>
      <c r="D10" s="458"/>
      <c r="E10" s="458"/>
    </row>
    <row r="11" spans="1:5" ht="13.5" customHeight="1">
      <c r="A11" s="36"/>
      <c r="B11" s="467"/>
      <c r="C11" s="458"/>
      <c r="D11" s="458"/>
      <c r="E11" s="458"/>
    </row>
    <row r="12" spans="1:5" ht="13.5">
      <c r="A12" s="36"/>
      <c r="B12" s="467"/>
      <c r="C12" s="458"/>
      <c r="D12" s="458"/>
      <c r="E12" s="458"/>
    </row>
    <row r="13" spans="1:5" ht="13.5">
      <c r="A13" s="36"/>
      <c r="B13" s="467"/>
      <c r="C13" s="458"/>
      <c r="D13" s="458"/>
      <c r="E13" s="458"/>
    </row>
    <row r="14" spans="1:5" ht="16.5" customHeight="1">
      <c r="A14" s="10"/>
      <c r="B14" s="11"/>
      <c r="C14" s="11"/>
      <c r="D14" s="11"/>
      <c r="E14" s="11"/>
    </row>
    <row r="15" spans="1:5" ht="16.5" customHeight="1">
      <c r="A15" s="10"/>
      <c r="B15" s="130" t="s">
        <v>882</v>
      </c>
      <c r="C15" s="11"/>
      <c r="D15" s="11"/>
      <c r="E15" s="11"/>
    </row>
    <row r="16" spans="1:5" ht="16.5" customHeight="1">
      <c r="A16" s="10"/>
      <c r="B16" s="151" t="s">
        <v>660</v>
      </c>
      <c r="C16" s="150" t="s">
        <v>661</v>
      </c>
      <c r="D16" s="441" t="s">
        <v>883</v>
      </c>
      <c r="E16" s="441"/>
    </row>
    <row r="17" spans="1:5" ht="16.5" customHeight="1">
      <c r="A17" s="10"/>
      <c r="B17" s="132" t="s">
        <v>1021</v>
      </c>
      <c r="C17" s="154">
        <f>DAY("2005/2/14")</f>
        <v>14</v>
      </c>
      <c r="D17" s="157"/>
      <c r="E17" s="157"/>
    </row>
    <row r="18" spans="1:5" ht="16.5" customHeight="1">
      <c r="A18" s="10"/>
      <c r="B18" s="132" t="s">
        <v>1022</v>
      </c>
      <c r="C18" s="154">
        <f>DAY("2005/2")</f>
        <v>1</v>
      </c>
      <c r="D18" s="157"/>
      <c r="E18" s="157"/>
    </row>
    <row r="19" spans="1:5" ht="16.5" customHeight="1">
      <c r="A19" s="10"/>
      <c r="B19" s="132" t="s">
        <v>1023</v>
      </c>
      <c r="C19" s="154">
        <f>DAY("2/14")</f>
        <v>14</v>
      </c>
      <c r="D19" s="157"/>
      <c r="E19" s="157"/>
    </row>
    <row r="20" spans="1:5" ht="16.5" customHeight="1">
      <c r="A20" s="10"/>
      <c r="B20" s="132"/>
      <c r="C20" s="154"/>
      <c r="D20" s="157"/>
      <c r="E20" s="157"/>
    </row>
    <row r="21" spans="1:5" ht="16.5" customHeight="1">
      <c r="A21" s="10"/>
      <c r="B21" s="132" t="s">
        <v>1024</v>
      </c>
      <c r="C21" s="155">
        <f>DAY(38352)</f>
        <v>31</v>
      </c>
      <c r="D21" s="173" t="s">
        <v>948</v>
      </c>
      <c r="E21" s="157"/>
    </row>
    <row r="22" spans="1:5" ht="16.5" customHeight="1">
      <c r="A22" s="10"/>
      <c r="B22" s="132" t="s">
        <v>1025</v>
      </c>
      <c r="C22" s="155">
        <f>DAY(38353)</f>
        <v>1</v>
      </c>
      <c r="D22" s="173" t="s">
        <v>943</v>
      </c>
      <c r="E22" s="157"/>
    </row>
    <row r="23" spans="2:5" ht="16.5" customHeight="1">
      <c r="B23" s="132" t="s">
        <v>1026</v>
      </c>
      <c r="C23" s="155">
        <f>DAY(38717)</f>
        <v>31</v>
      </c>
      <c r="D23" s="173" t="s">
        <v>945</v>
      </c>
      <c r="E23" s="178"/>
    </row>
    <row r="24" spans="2:5" ht="16.5" customHeight="1">
      <c r="B24" s="132" t="s">
        <v>1027</v>
      </c>
      <c r="C24" s="155">
        <f>DAY(38719)</f>
        <v>2</v>
      </c>
      <c r="D24" s="173" t="s">
        <v>1028</v>
      </c>
      <c r="E24" s="178"/>
    </row>
    <row r="25" spans="2:4" ht="16.5" customHeight="1">
      <c r="B25" s="17"/>
      <c r="C25" s="11"/>
      <c r="D25" s="160"/>
    </row>
    <row r="26" spans="2:5" ht="16.5" customHeight="1">
      <c r="B26" s="442" t="s">
        <v>953</v>
      </c>
      <c r="C26" s="428"/>
      <c r="D26" s="428"/>
      <c r="E26" s="428"/>
    </row>
    <row r="27" spans="2:5" ht="16.5" customHeight="1">
      <c r="B27" s="431" t="s">
        <v>1029</v>
      </c>
      <c r="C27" s="430"/>
      <c r="D27" s="176">
        <f>DAY(DATE(2005,5,5))</f>
        <v>5</v>
      </c>
      <c r="E27" s="178"/>
    </row>
    <row r="28" spans="2:5" ht="16.5" customHeight="1">
      <c r="B28" s="429" t="s">
        <v>1030</v>
      </c>
      <c r="C28" s="430"/>
      <c r="D28" s="176">
        <f>DAY(DATE(2005,12,32))</f>
        <v>1</v>
      </c>
      <c r="E28" s="178" t="s">
        <v>956</v>
      </c>
    </row>
    <row r="29" spans="2:3" ht="16.5" customHeight="1">
      <c r="B29" s="16"/>
      <c r="C29" s="5"/>
    </row>
    <row r="30" spans="2:3" ht="16.5" customHeight="1">
      <c r="B30" s="83" t="s">
        <v>957</v>
      </c>
      <c r="C30" s="5"/>
    </row>
    <row r="31" spans="2:5" ht="16.5" customHeight="1">
      <c r="B31" s="440" t="s">
        <v>1031</v>
      </c>
      <c r="C31" s="440"/>
      <c r="D31" s="177">
        <f>DAY("2005/2/14")-1</f>
        <v>13</v>
      </c>
      <c r="E31" s="178" t="s">
        <v>1032</v>
      </c>
    </row>
    <row r="32" spans="2:5" ht="13.5">
      <c r="B32" s="440" t="s">
        <v>1034</v>
      </c>
      <c r="C32" s="440"/>
      <c r="D32" s="177">
        <f>DAY("2005/2/14")+1</f>
        <v>15</v>
      </c>
      <c r="E32" s="178" t="s">
        <v>1033</v>
      </c>
    </row>
    <row r="33" ht="13.5">
      <c r="D33" s="179"/>
    </row>
    <row r="35" ht="13.5">
      <c r="B35" s="83" t="s">
        <v>961</v>
      </c>
    </row>
    <row r="36" spans="2:4" ht="13.5">
      <c r="B36" s="440" t="s">
        <v>1035</v>
      </c>
      <c r="C36" s="458"/>
      <c r="D36" s="458"/>
    </row>
    <row r="37" spans="3:4" ht="13.5">
      <c r="C37" s="181"/>
      <c r="D37" s="180" t="str">
        <f>"今日は"&amp;DAY("2005/2/14")&amp;"日です。"</f>
        <v>今日は14日です。</v>
      </c>
    </row>
    <row r="39" spans="2:4" ht="13.5">
      <c r="B39" s="54" t="s">
        <v>1036</v>
      </c>
      <c r="C39" s="55"/>
      <c r="D39" s="55"/>
    </row>
    <row r="40" ht="13.5">
      <c r="D40" s="136" t="str">
        <f ca="1">"今日は"&amp;DAY(TODAY())&amp;"日です。"</f>
        <v>今日は16日です。</v>
      </c>
    </row>
    <row r="43" ht="13.5">
      <c r="B43" s="340" t="s">
        <v>239</v>
      </c>
    </row>
    <row r="45" ht="13.5">
      <c r="B45" t="s">
        <v>240</v>
      </c>
    </row>
    <row r="46" spans="2:4" ht="13.5">
      <c r="B46" s="327" t="s">
        <v>674</v>
      </c>
      <c r="C46" s="327" t="s">
        <v>675</v>
      </c>
      <c r="D46" s="327" t="s">
        <v>676</v>
      </c>
    </row>
    <row r="47" spans="2:4" ht="13.5">
      <c r="B47" s="328">
        <v>2005</v>
      </c>
      <c r="C47" s="328">
        <v>3</v>
      </c>
      <c r="D47" s="328">
        <v>1</v>
      </c>
    </row>
    <row r="48" spans="2:5" ht="13.5">
      <c r="B48" s="476" t="s">
        <v>241</v>
      </c>
      <c r="C48" s="458"/>
      <c r="D48" s="458"/>
      <c r="E48" s="458"/>
    </row>
    <row r="49" spans="2:5" ht="13.5">
      <c r="B49" s="476"/>
      <c r="C49" s="458"/>
      <c r="D49" s="458"/>
      <c r="E49" s="458"/>
    </row>
    <row r="50" spans="2:5" ht="13.5">
      <c r="B50" s="458"/>
      <c r="C50" s="458"/>
      <c r="D50" s="458"/>
      <c r="E50" s="458"/>
    </row>
    <row r="51" spans="2:4" ht="13.5">
      <c r="B51" s="290">
        <f>YEAR(DATE($B$47,$C$47,$D$47))</f>
        <v>2005</v>
      </c>
      <c r="C51" s="290">
        <f>MONTH(DATE($B$47,$C$47,$D$47))</f>
        <v>3</v>
      </c>
      <c r="D51" s="290">
        <f>DAY(DATE($B$47,$C$47,$D$47))</f>
        <v>1</v>
      </c>
    </row>
    <row r="52" spans="2:4" ht="13.5">
      <c r="B52" s="5"/>
      <c r="C52" s="5"/>
      <c r="D52" s="5"/>
    </row>
    <row r="53" spans="2:4" ht="13.5">
      <c r="B53" s="5" t="s">
        <v>242</v>
      </c>
      <c r="C53" s="5"/>
      <c r="D53" s="5"/>
    </row>
    <row r="72" spans="2:5" ht="13.5">
      <c r="B72" s="477" t="s">
        <v>243</v>
      </c>
      <c r="C72" s="458"/>
      <c r="D72" s="458"/>
      <c r="E72" s="458"/>
    </row>
    <row r="73" spans="2:5" ht="13.5">
      <c r="B73" s="458"/>
      <c r="C73" s="458"/>
      <c r="D73" s="458"/>
      <c r="E73" s="458"/>
    </row>
    <row r="74" spans="2:4" ht="13.5">
      <c r="B74" s="341">
        <f>YEAR(DATE($B$47,$C$47,$D$47))</f>
        <v>2005</v>
      </c>
      <c r="C74" s="341">
        <f>MONTH(DATE($B$47,$C$47,$D$47))</f>
        <v>3</v>
      </c>
      <c r="D74" s="341">
        <f>DAY(DATE($B$47,$C$47,$D$47))</f>
        <v>1</v>
      </c>
    </row>
    <row r="76" spans="2:5" ht="13.5">
      <c r="B76" s="458" t="s">
        <v>244</v>
      </c>
      <c r="C76" s="458"/>
      <c r="D76" s="458"/>
      <c r="E76" s="458"/>
    </row>
    <row r="77" spans="2:5" ht="13.5">
      <c r="B77" s="458"/>
      <c r="C77" s="458"/>
      <c r="D77" s="458"/>
      <c r="E77" s="458"/>
    </row>
    <row r="78" spans="2:5" ht="13.5">
      <c r="B78" s="458"/>
      <c r="C78" s="458"/>
      <c r="D78" s="458"/>
      <c r="E78" s="458"/>
    </row>
    <row r="79" spans="2:5" ht="13.5">
      <c r="B79" s="4"/>
      <c r="C79" s="4"/>
      <c r="D79" s="4"/>
      <c r="E79" s="4"/>
    </row>
    <row r="81" spans="2:4" ht="13.5">
      <c r="B81" s="169" t="s">
        <v>245</v>
      </c>
      <c r="C81" s="170"/>
      <c r="D81" s="134">
        <f>DATE(B47,C47,D47)</f>
        <v>38412</v>
      </c>
    </row>
    <row r="82" spans="2:4" ht="13.5">
      <c r="B82" s="342" t="s">
        <v>247</v>
      </c>
      <c r="D82" s="342" t="s">
        <v>247</v>
      </c>
    </row>
    <row r="83" spans="2:5" ht="13.5">
      <c r="B83" s="54" t="s">
        <v>246</v>
      </c>
      <c r="C83" s="55"/>
      <c r="D83" s="134">
        <f>DAY(DATE(B47,C47,D47))</f>
        <v>1</v>
      </c>
      <c r="E83" s="343" t="s">
        <v>248</v>
      </c>
    </row>
  </sheetData>
  <mergeCells count="15">
    <mergeCell ref="B48:E50"/>
    <mergeCell ref="B76:E78"/>
    <mergeCell ref="B32:C32"/>
    <mergeCell ref="B36:D36"/>
    <mergeCell ref="B72:E73"/>
    <mergeCell ref="D16:E16"/>
    <mergeCell ref="B26:E26"/>
    <mergeCell ref="B31:C31"/>
    <mergeCell ref="B28:C28"/>
    <mergeCell ref="B27:C27"/>
    <mergeCell ref="B10:E13"/>
    <mergeCell ref="B3:E3"/>
    <mergeCell ref="B4:E5"/>
    <mergeCell ref="B7:E7"/>
    <mergeCell ref="B9:E9"/>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&amp;L2005/2&amp;C&amp;P/&amp;N</oddFooter>
  </headerFooter>
  <rowBreaks count="1" manualBreakCount="1">
    <brk id="42" max="255" man="1"/>
  </rowBreaks>
  <drawing r:id="rId1"/>
</worksheet>
</file>

<file path=xl/worksheets/sheet9.xml><?xml version="1.0" encoding="utf-8"?>
<worksheet xmlns="http://schemas.openxmlformats.org/spreadsheetml/2006/main" xmlns:r="http://schemas.openxmlformats.org/officeDocument/2006/relationships">
  <sheetPr codeName="Sheet12"/>
  <dimension ref="A1:E39"/>
  <sheetViews>
    <sheetView workbookViewId="0" topLeftCell="A1">
      <selection activeCell="B1" sqref="B1"/>
    </sheetView>
  </sheetViews>
  <sheetFormatPr defaultColWidth="9.00390625" defaultRowHeight="13.5"/>
  <cols>
    <col min="2" max="5" width="19.375" style="0" customWidth="1"/>
  </cols>
  <sheetData>
    <row r="1" ht="31.5" customHeight="1">
      <c r="B1" s="1" t="s">
        <v>1037</v>
      </c>
    </row>
    <row r="3" spans="1:5" ht="13.5">
      <c r="A3" s="40" t="s">
        <v>652</v>
      </c>
      <c r="B3" s="468" t="s">
        <v>1038</v>
      </c>
      <c r="C3" s="468"/>
      <c r="D3" s="468"/>
      <c r="E3" s="469"/>
    </row>
    <row r="4" spans="1:5" ht="13.5">
      <c r="A4" s="41"/>
      <c r="B4" s="470" t="s">
        <v>51</v>
      </c>
      <c r="C4" s="470"/>
      <c r="D4" s="470"/>
      <c r="E4" s="471"/>
    </row>
    <row r="5" spans="1:5" ht="13.5">
      <c r="A5" s="41"/>
      <c r="B5" s="470"/>
      <c r="C5" s="470"/>
      <c r="D5" s="470"/>
      <c r="E5" s="471"/>
    </row>
    <row r="6" spans="2:5" ht="13.5">
      <c r="B6" s="4"/>
      <c r="C6" s="4"/>
      <c r="D6" s="4"/>
      <c r="E6" s="4"/>
    </row>
    <row r="7" spans="1:5" ht="13.5">
      <c r="A7" s="42" t="s">
        <v>631</v>
      </c>
      <c r="B7" s="472" t="s">
        <v>1040</v>
      </c>
      <c r="C7" s="473"/>
      <c r="D7" s="473"/>
      <c r="E7" s="474"/>
    </row>
    <row r="9" spans="1:5" ht="13.5">
      <c r="A9" s="35" t="s">
        <v>655</v>
      </c>
      <c r="B9" s="475" t="s">
        <v>871</v>
      </c>
      <c r="C9" s="458"/>
      <c r="D9" s="458"/>
      <c r="E9" s="458"/>
    </row>
    <row r="10" spans="1:5" ht="13.5">
      <c r="A10" s="36"/>
      <c r="B10" s="466" t="s">
        <v>1041</v>
      </c>
      <c r="C10" s="458"/>
      <c r="D10" s="458"/>
      <c r="E10" s="458"/>
    </row>
    <row r="11" spans="1:5" ht="13.5" customHeight="1">
      <c r="A11" s="36"/>
      <c r="B11" s="467"/>
      <c r="C11" s="458"/>
      <c r="D11" s="458"/>
      <c r="E11" s="458"/>
    </row>
    <row r="12" spans="1:5" ht="13.5">
      <c r="A12" s="36"/>
      <c r="B12" s="467"/>
      <c r="C12" s="458"/>
      <c r="D12" s="458"/>
      <c r="E12" s="458"/>
    </row>
    <row r="13" spans="1:5" ht="13.5">
      <c r="A13" s="36"/>
      <c r="B13" s="467"/>
      <c r="C13" s="458"/>
      <c r="D13" s="458"/>
      <c r="E13" s="458"/>
    </row>
    <row r="14" spans="1:5" ht="16.5" customHeight="1">
      <c r="A14" s="10"/>
      <c r="B14" s="11"/>
      <c r="C14" s="11"/>
      <c r="D14" s="11"/>
      <c r="E14" s="11"/>
    </row>
    <row r="15" spans="1:5" ht="16.5" customHeight="1">
      <c r="A15" s="10"/>
      <c r="B15" s="130" t="s">
        <v>882</v>
      </c>
      <c r="C15" s="11"/>
      <c r="D15" s="11"/>
      <c r="E15" s="11"/>
    </row>
    <row r="16" spans="1:5" ht="16.5" customHeight="1">
      <c r="A16" s="10"/>
      <c r="B16" s="151" t="s">
        <v>660</v>
      </c>
      <c r="C16" s="150" t="s">
        <v>661</v>
      </c>
      <c r="D16" s="441" t="s">
        <v>883</v>
      </c>
      <c r="E16" s="441"/>
    </row>
    <row r="17" spans="1:5" ht="16.5" customHeight="1">
      <c r="A17" s="10"/>
      <c r="B17" s="132" t="s">
        <v>1042</v>
      </c>
      <c r="C17" s="154">
        <f>HOUR("10:15")</f>
        <v>10</v>
      </c>
      <c r="D17" s="479" t="s">
        <v>765</v>
      </c>
      <c r="E17" s="479"/>
    </row>
    <row r="18" spans="1:5" ht="16.5" customHeight="1">
      <c r="A18" s="10"/>
      <c r="B18" s="132" t="s">
        <v>1043</v>
      </c>
      <c r="C18" s="154">
        <f>HOUR("17:15")</f>
        <v>17</v>
      </c>
      <c r="D18" s="479" t="s">
        <v>765</v>
      </c>
      <c r="E18" s="479"/>
    </row>
    <row r="19" spans="1:5" ht="16.5" customHeight="1">
      <c r="A19" s="10"/>
      <c r="B19" s="132" t="s">
        <v>1044</v>
      </c>
      <c r="C19" s="154">
        <f>HOUR("2:30 AM")</f>
        <v>2</v>
      </c>
      <c r="D19" s="479" t="s">
        <v>1047</v>
      </c>
      <c r="E19" s="479"/>
    </row>
    <row r="20" spans="1:5" ht="16.5" customHeight="1">
      <c r="A20" s="10"/>
      <c r="B20" s="132" t="s">
        <v>1045</v>
      </c>
      <c r="C20" s="154">
        <f>HOUR("2:30 PM")</f>
        <v>14</v>
      </c>
      <c r="D20" s="479" t="s">
        <v>1046</v>
      </c>
      <c r="E20" s="479"/>
    </row>
    <row r="21" spans="1:5" ht="16.5" customHeight="1">
      <c r="A21" s="10"/>
      <c r="B21" s="132" t="s">
        <v>37</v>
      </c>
      <c r="C21" s="155">
        <f>HOUR(0.78125)</f>
        <v>18</v>
      </c>
      <c r="D21" s="173" t="s">
        <v>38</v>
      </c>
      <c r="E21" s="157"/>
    </row>
    <row r="22" spans="2:4" ht="16.5" customHeight="1">
      <c r="B22" s="17"/>
      <c r="C22" s="11"/>
      <c r="D22" s="160"/>
    </row>
    <row r="23" spans="2:5" ht="16.5" customHeight="1">
      <c r="B23" s="442" t="s">
        <v>46</v>
      </c>
      <c r="C23" s="428"/>
      <c r="D23" s="428"/>
      <c r="E23" s="428"/>
    </row>
    <row r="24" spans="2:5" ht="16.5" customHeight="1">
      <c r="B24" s="431" t="s">
        <v>45</v>
      </c>
      <c r="C24" s="430"/>
      <c r="D24" s="176">
        <f>HOUR(TIMEVALUE("3:30 PM"))</f>
        <v>15</v>
      </c>
      <c r="E24" s="178"/>
    </row>
    <row r="25" spans="2:5" ht="16.5" customHeight="1">
      <c r="B25" s="429" t="s">
        <v>47</v>
      </c>
      <c r="C25" s="430"/>
      <c r="D25" s="176">
        <f>HOUR(TIMEVALUE("3:30"))</f>
        <v>3</v>
      </c>
      <c r="E25" s="178"/>
    </row>
    <row r="26" spans="2:3" ht="16.5" customHeight="1">
      <c r="B26" s="16"/>
      <c r="C26" s="5"/>
    </row>
    <row r="27" spans="2:3" ht="16.5" customHeight="1">
      <c r="B27" s="83" t="s">
        <v>957</v>
      </c>
      <c r="C27" s="5"/>
    </row>
    <row r="28" spans="2:5" ht="16.5" customHeight="1">
      <c r="B28" s="440" t="s">
        <v>39</v>
      </c>
      <c r="C28" s="440"/>
      <c r="D28" s="177">
        <f>HOUR("17:30")-1</f>
        <v>16</v>
      </c>
      <c r="E28" s="178" t="s">
        <v>43</v>
      </c>
    </row>
    <row r="29" spans="2:5" ht="16.5" customHeight="1">
      <c r="B29" s="440" t="s">
        <v>40</v>
      </c>
      <c r="C29" s="440"/>
      <c r="D29" s="177" t="str">
        <f>HOUR("17:30")-1&amp;":"&amp;MINUTE("17:30")</f>
        <v>16:30</v>
      </c>
      <c r="E29" s="178"/>
    </row>
    <row r="30" spans="2:5" ht="13.5">
      <c r="B30" s="440" t="s">
        <v>42</v>
      </c>
      <c r="C30" s="440"/>
      <c r="D30" s="177">
        <f>HOUR("17:30")+2</f>
        <v>19</v>
      </c>
      <c r="E30" s="178" t="s">
        <v>44</v>
      </c>
    </row>
    <row r="31" spans="2:5" ht="13.5">
      <c r="B31" s="440" t="s">
        <v>41</v>
      </c>
      <c r="C31" s="440"/>
      <c r="D31" s="177" t="str">
        <f>HOUR("17:30")+2&amp;":"&amp;MINUTE("17:30")</f>
        <v>19:30</v>
      </c>
      <c r="E31" s="178"/>
    </row>
    <row r="32" ht="13.5">
      <c r="D32" s="179"/>
    </row>
    <row r="34" ht="13.5">
      <c r="B34" s="83" t="s">
        <v>961</v>
      </c>
    </row>
    <row r="35" spans="2:4" ht="13.5">
      <c r="B35" s="440" t="s">
        <v>1048</v>
      </c>
      <c r="C35" s="458"/>
      <c r="D35" s="458"/>
    </row>
    <row r="36" spans="3:5" ht="13.5">
      <c r="C36" s="181"/>
      <c r="D36" s="478" t="str">
        <f>"今日の"&amp;HOUR("4:30 PM")&amp;"時から会議です。"</f>
        <v>今日の16時から会議です。</v>
      </c>
      <c r="E36" s="458"/>
    </row>
    <row r="38" spans="2:4" ht="13.5">
      <c r="B38" s="54" t="s">
        <v>1049</v>
      </c>
      <c r="C38" s="55"/>
      <c r="D38" s="55"/>
    </row>
    <row r="39" ht="13.5">
      <c r="D39" s="136" t="str">
        <f ca="1">"今は"&amp;HOUR(NOW())&amp;"時です。"</f>
        <v>今は22時です。</v>
      </c>
    </row>
  </sheetData>
  <mergeCells count="19">
    <mergeCell ref="B10:E13"/>
    <mergeCell ref="B3:E3"/>
    <mergeCell ref="B4:E5"/>
    <mergeCell ref="B7:E7"/>
    <mergeCell ref="B9:E9"/>
    <mergeCell ref="D16:E16"/>
    <mergeCell ref="B23:E23"/>
    <mergeCell ref="B28:C28"/>
    <mergeCell ref="B25:C25"/>
    <mergeCell ref="B24:C24"/>
    <mergeCell ref="D19:E19"/>
    <mergeCell ref="D20:E20"/>
    <mergeCell ref="D17:E17"/>
    <mergeCell ref="D18:E18"/>
    <mergeCell ref="D36:E36"/>
    <mergeCell ref="B29:C29"/>
    <mergeCell ref="B31:C31"/>
    <mergeCell ref="B30:C30"/>
    <mergeCell ref="B35:D35"/>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&amp;L2005/2&amp;C&amp;P/&amp;N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SystemKOMACO</dc:creator>
  <cp:keywords/>
  <dc:description/>
  <cp:lastModifiedBy>Komazawa_Tsutomu</cp:lastModifiedBy>
  <cp:lastPrinted>2006-05-16T13:49:24Z</cp:lastPrinted>
  <dcterms:created xsi:type="dcterms:W3CDTF">2004-06-19T01:10:14Z</dcterms:created>
  <dcterms:modified xsi:type="dcterms:W3CDTF">2006-05-16T14:49:51Z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